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476" windowWidth="15480" windowHeight="11640" activeTab="0"/>
  </bookViews>
  <sheets>
    <sheet name="Cruisetrack" sheetId="1" r:id="rId1"/>
    <sheet name="Line W" sheetId="2" r:id="rId2"/>
    <sheet name="10kts @ 50mps" sheetId="3" r:id="rId3"/>
  </sheets>
  <definedNames/>
  <calcPr fullCalcOnLoad="1"/>
</workbook>
</file>

<file path=xl/comments3.xml><?xml version="1.0" encoding="utf-8"?>
<comments xmlns="http://schemas.openxmlformats.org/spreadsheetml/2006/main">
  <authors>
    <author>rik wanninkhof</author>
  </authors>
  <commentList>
    <comment ref="K13" authorId="0">
      <text>
        <r>
          <rPr>
            <b/>
            <sz val="9"/>
            <rFont val="Geneva"/>
            <family val="0"/>
          </rPr>
          <t>rik wanninkhof:</t>
        </r>
        <r>
          <rPr>
            <sz val="9"/>
            <rFont val="Geneva"/>
            <family val="0"/>
          </rPr>
          <t xml:space="preserve">
adjust the number below here to get start time</t>
        </r>
      </text>
    </comment>
    <comment ref="L15" authorId="0">
      <text>
        <r>
          <rPr>
            <b/>
            <sz val="9"/>
            <rFont val="Geneva"/>
            <family val="0"/>
          </rPr>
          <t>rik wanninkhof:</t>
        </r>
        <r>
          <rPr>
            <sz val="9"/>
            <rFont val="Geneva"/>
            <family val="0"/>
          </rPr>
          <t xml:space="preserve">
this is the cell that allows for weather days, depart time does not make sense</t>
        </r>
      </text>
    </comment>
  </commentList>
</comments>
</file>

<file path=xl/sharedStrings.xml><?xml version="1.0" encoding="utf-8"?>
<sst xmlns="http://schemas.openxmlformats.org/spreadsheetml/2006/main" count="891" uniqueCount="175">
  <si>
    <t>Endeavor 214 #18</t>
  </si>
  <si>
    <t>Endeavor 214 #25</t>
  </si>
  <si>
    <t>Endeavor 214 #24</t>
  </si>
  <si>
    <t>Endeavor 214 #23</t>
  </si>
  <si>
    <t>Endeavor 214 #22</t>
  </si>
  <si>
    <t>Endeavor 214 #21</t>
  </si>
  <si>
    <t>Endeavor 214 #20</t>
  </si>
  <si>
    <t>Endeavor 214 #19</t>
  </si>
  <si>
    <t>Node A</t>
  </si>
  <si>
    <t>Remus 6</t>
  </si>
  <si>
    <t>Line W</t>
  </si>
  <si>
    <t>Clearance</t>
  </si>
  <si>
    <t>NOAA SHIP RONALD H. BROWN</t>
  </si>
  <si>
    <t>Activity</t>
  </si>
  <si>
    <t xml:space="preserve">Latitude  </t>
  </si>
  <si>
    <t xml:space="preserve">Longitude </t>
  </si>
  <si>
    <t>Distance</t>
  </si>
  <si>
    <t>SMG</t>
  </si>
  <si>
    <t>Transit</t>
  </si>
  <si>
    <t>On Sta.</t>
  </si>
  <si>
    <t>Arrive</t>
  </si>
  <si>
    <t>Depart</t>
  </si>
  <si>
    <t xml:space="preserve">     CUMULATIVE</t>
  </si>
  <si>
    <t>LAT</t>
  </si>
  <si>
    <t>LONG</t>
  </si>
  <si>
    <t>Deg.</t>
  </si>
  <si>
    <t xml:space="preserve">   Minutes</t>
  </si>
  <si>
    <t>(nmi)</t>
  </si>
  <si>
    <t>(kts)</t>
  </si>
  <si>
    <t>(hrs)</t>
  </si>
  <si>
    <t>(days)</t>
  </si>
  <si>
    <t>CORR</t>
  </si>
  <si>
    <t>N</t>
  </si>
  <si>
    <t>W</t>
  </si>
  <si>
    <t>gen number</t>
  </si>
  <si>
    <t>Date / Time(Z)</t>
  </si>
  <si>
    <t>Galveston</t>
  </si>
  <si>
    <t>Waypoint</t>
  </si>
  <si>
    <t>STA 21</t>
  </si>
  <si>
    <t>STA 22</t>
  </si>
  <si>
    <t>STA 23</t>
  </si>
  <si>
    <t>STA 24</t>
  </si>
  <si>
    <t>STA 25</t>
  </si>
  <si>
    <t>STA 26</t>
  </si>
  <si>
    <t>STA 27</t>
  </si>
  <si>
    <t>STA 28</t>
  </si>
  <si>
    <t>STA 29</t>
  </si>
  <si>
    <t>STA 30</t>
  </si>
  <si>
    <t>STA 31</t>
  </si>
  <si>
    <t>STA 32</t>
  </si>
  <si>
    <t>STA 33</t>
  </si>
  <si>
    <t>STA 34</t>
  </si>
  <si>
    <t>STA 35</t>
  </si>
  <si>
    <t>STA 36</t>
  </si>
  <si>
    <t>STA 37</t>
  </si>
  <si>
    <t>STA 38</t>
  </si>
  <si>
    <t>STA 39</t>
  </si>
  <si>
    <t>STA 40</t>
  </si>
  <si>
    <t>STA 54</t>
  </si>
  <si>
    <t>STA 55</t>
  </si>
  <si>
    <t>STA 56</t>
  </si>
  <si>
    <t>STA 57</t>
  </si>
  <si>
    <t>STA 58</t>
  </si>
  <si>
    <t>STA 59</t>
  </si>
  <si>
    <t>STA 60</t>
  </si>
  <si>
    <t>STA 61</t>
  </si>
  <si>
    <t>STA 62</t>
  </si>
  <si>
    <t>STA 63</t>
  </si>
  <si>
    <t>STA 64</t>
  </si>
  <si>
    <t>STA 65</t>
  </si>
  <si>
    <t>STA 66</t>
  </si>
  <si>
    <t>STA 67</t>
  </si>
  <si>
    <t>STA 68</t>
  </si>
  <si>
    <t>STA 69</t>
  </si>
  <si>
    <t>STA 70</t>
  </si>
  <si>
    <t>STA 71</t>
  </si>
  <si>
    <t>STA 72</t>
  </si>
  <si>
    <t>STA 73</t>
  </si>
  <si>
    <t>STA 74</t>
  </si>
  <si>
    <t>STA 75</t>
  </si>
  <si>
    <t>STA 76</t>
  </si>
  <si>
    <t>STA 77</t>
  </si>
  <si>
    <t>STA 78</t>
  </si>
  <si>
    <t>STA 79</t>
  </si>
  <si>
    <t>STA 80</t>
  </si>
  <si>
    <t>BOSTON</t>
  </si>
  <si>
    <t xml:space="preserve">STA 1 </t>
  </si>
  <si>
    <t xml:space="preserve">STA 2 </t>
  </si>
  <si>
    <t xml:space="preserve">STA 3 </t>
  </si>
  <si>
    <t xml:space="preserve">STA 4 </t>
  </si>
  <si>
    <t xml:space="preserve">STA 5 </t>
  </si>
  <si>
    <t xml:space="preserve">STA 6 </t>
  </si>
  <si>
    <t xml:space="preserve">STA 7 </t>
  </si>
  <si>
    <t xml:space="preserve">STA 8 </t>
  </si>
  <si>
    <t xml:space="preserve">STA 9 </t>
  </si>
  <si>
    <t xml:space="preserve">STA 10 </t>
  </si>
  <si>
    <t xml:space="preserve">STA 11 </t>
  </si>
  <si>
    <t xml:space="preserve">STA 12 </t>
  </si>
  <si>
    <t>STA 13</t>
  </si>
  <si>
    <t xml:space="preserve">STA 14 </t>
  </si>
  <si>
    <t xml:space="preserve">STA 15 </t>
  </si>
  <si>
    <t xml:space="preserve">STA 16 </t>
  </si>
  <si>
    <t xml:space="preserve">STA 17 </t>
  </si>
  <si>
    <t xml:space="preserve">STA 18 </t>
  </si>
  <si>
    <t xml:space="preserve">STA 19 </t>
  </si>
  <si>
    <t xml:space="preserve">STA 20 </t>
  </si>
  <si>
    <t>RB-07 GOMECC CO2</t>
  </si>
  <si>
    <t>2 extra hours on station</t>
  </si>
  <si>
    <t>Adjuster</t>
  </si>
  <si>
    <t>Start transect</t>
  </si>
  <si>
    <t>Depth</t>
  </si>
  <si>
    <t>Cummulative</t>
  </si>
  <si>
    <t>per leg</t>
  </si>
  <si>
    <t xml:space="preserve"> </t>
  </si>
  <si>
    <t>STA 81</t>
  </si>
  <si>
    <t>STA 82</t>
  </si>
  <si>
    <t>last version april 15, 2007 with Uga line update</t>
  </si>
  <si>
    <t>31.40 N 80.87 W (31°24'08"N 80°52'14"W)</t>
  </si>
  <si>
    <t>STA 41 (C03)</t>
  </si>
  <si>
    <t>STA 42 (C04)</t>
  </si>
  <si>
    <t>STA 43 (C06)</t>
  </si>
  <si>
    <t>STA 44 (C08)</t>
  </si>
  <si>
    <t>STA 45 (C10)</t>
  </si>
  <si>
    <t>STA 46 (C11)</t>
  </si>
  <si>
    <t>STA 47 (C13)</t>
  </si>
  <si>
    <t>STA 48 (C15)</t>
  </si>
  <si>
    <t>STA 49 (C16)</t>
  </si>
  <si>
    <t>STA 50</t>
  </si>
  <si>
    <t>STA 51</t>
  </si>
  <si>
    <t>STA 52</t>
  </si>
  <si>
    <t>CO2 mooring</t>
  </si>
  <si>
    <t>STA 52 (dup)</t>
  </si>
  <si>
    <t>STA 53</t>
  </si>
  <si>
    <t>Sta</t>
  </si>
  <si>
    <t>Lat</t>
  </si>
  <si>
    <t>Lon</t>
  </si>
  <si>
    <t>dist</t>
  </si>
  <si>
    <t>Cum</t>
  </si>
  <si>
    <t>depth</t>
  </si>
  <si>
    <t>wire</t>
  </si>
  <si>
    <t>Extra</t>
  </si>
  <si>
    <t xml:space="preserve">Arrival </t>
  </si>
  <si>
    <t>Departure</t>
  </si>
  <si>
    <t>steam (h)</t>
  </si>
  <si>
    <t>ship</t>
  </si>
  <si>
    <t>total</t>
  </si>
  <si>
    <t>Day of</t>
  </si>
  <si>
    <t>Bridge</t>
  </si>
  <si>
    <t>Comments</t>
  </si>
  <si>
    <t>#</t>
  </si>
  <si>
    <t>(nm)</t>
  </si>
  <si>
    <t>(km)</t>
  </si>
  <si>
    <t>(m)</t>
  </si>
  <si>
    <t>time</t>
  </si>
  <si>
    <t>Local</t>
  </si>
  <si>
    <t>Time</t>
  </si>
  <si>
    <t>from</t>
  </si>
  <si>
    <t>speed</t>
  </si>
  <si>
    <t>hours</t>
  </si>
  <si>
    <t>days</t>
  </si>
  <si>
    <t>Week</t>
  </si>
  <si>
    <t>WP</t>
  </si>
  <si>
    <t>last sta</t>
  </si>
  <si>
    <t>Seabuoy</t>
  </si>
  <si>
    <t>Mon</t>
  </si>
  <si>
    <t>Tues</t>
  </si>
  <si>
    <t>Wed</t>
  </si>
  <si>
    <t>Thur</t>
  </si>
  <si>
    <t>Fri</t>
  </si>
  <si>
    <t>Sat</t>
  </si>
  <si>
    <t>Sun</t>
  </si>
  <si>
    <t>Boston</t>
  </si>
  <si>
    <t>DIC, CFC, well sampled</t>
  </si>
  <si>
    <t>New station</t>
  </si>
  <si>
    <t>Optional new station?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</si>
</sst>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hhmm"/>
    <numFmt numFmtId="166" formatCode="hh;"/>
    <numFmt numFmtId="167" formatCode="m/d/yy\ \ \ hh:mm"/>
    <numFmt numFmtId="168" formatCode="d\-mmm\ \ \ hh:mm"/>
    <numFmt numFmtId="169" formatCode="dd\-mmm\ \ \ hh:mm"/>
    <numFmt numFmtId="170" formatCode="00.0"/>
    <numFmt numFmtId="171" formatCode="00.00"/>
    <numFmt numFmtId="172" formatCode="\ 0.0"/>
    <numFmt numFmtId="173" formatCode="\ \ 0.0"/>
    <numFmt numFmtId="174" formatCode="\+\ 0.00"/>
    <numFmt numFmtId="175" formatCode="m/d"/>
    <numFmt numFmtId="176" formatCode="dd\-mmm\-yy"/>
    <numFmt numFmtId="177" formatCode="m/d/yy\ h:mm\ AM/PM"/>
    <numFmt numFmtId="178" formatCode="d\-mmm\ h:mm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sz val="9"/>
      <color indexed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9"/>
      <color indexed="12"/>
      <name val="Geneva"/>
      <family val="0"/>
    </font>
    <font>
      <sz val="8"/>
      <name val="Arial"/>
      <family val="0"/>
    </font>
    <font>
      <u val="single"/>
      <sz val="8"/>
      <name val="Arial"/>
      <family val="2"/>
    </font>
    <font>
      <b/>
      <sz val="8"/>
      <name val="Geneva"/>
      <family val="2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Alignment="1">
      <alignment/>
    </xf>
    <xf numFmtId="15" fontId="5" fillId="0" borderId="0" xfId="0" applyNumberFormat="1" applyFont="1" applyFill="1" applyAlignment="1">
      <alignment/>
    </xf>
    <xf numFmtId="165" fontId="0" fillId="3" borderId="2" xfId="0" applyNumberFormat="1" applyFill="1" applyBorder="1" applyAlignment="1">
      <alignment horizontal="center"/>
    </xf>
    <xf numFmtId="0" fontId="0" fillId="3" borderId="0" xfId="0" applyFill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0" fillId="3" borderId="3" xfId="0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171" fontId="0" fillId="0" borderId="6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right"/>
    </xf>
    <xf numFmtId="164" fontId="0" fillId="0" borderId="3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right"/>
    </xf>
    <xf numFmtId="169" fontId="0" fillId="0" borderId="7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/>
    </xf>
    <xf numFmtId="0" fontId="0" fillId="3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164" fontId="0" fillId="0" borderId="8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0" fillId="3" borderId="4" xfId="0" applyFont="1" applyFill="1" applyBorder="1" applyAlignment="1">
      <alignment horizontal="center"/>
    </xf>
    <xf numFmtId="164" fontId="0" fillId="3" borderId="6" xfId="0" applyNumberFormat="1" applyFont="1" applyFill="1" applyBorder="1" applyAlignment="1">
      <alignment horizontal="right"/>
    </xf>
    <xf numFmtId="164" fontId="0" fillId="3" borderId="7" xfId="0" applyNumberFormat="1" applyFont="1" applyFill="1" applyBorder="1" applyAlignment="1">
      <alignment horizontal="center"/>
    </xf>
    <xf numFmtId="164" fontId="0" fillId="3" borderId="7" xfId="0" applyNumberFormat="1" applyFont="1" applyFill="1" applyBorder="1" applyAlignment="1">
      <alignment horizontal="right"/>
    </xf>
    <xf numFmtId="164" fontId="0" fillId="3" borderId="7" xfId="0" applyNumberFormat="1" applyFont="1" applyFill="1" applyBorder="1" applyAlignment="1">
      <alignment/>
    </xf>
    <xf numFmtId="169" fontId="0" fillId="3" borderId="7" xfId="0" applyNumberFormat="1" applyFont="1" applyFill="1" applyBorder="1" applyAlignment="1">
      <alignment horizontal="center"/>
    </xf>
    <xf numFmtId="169" fontId="0" fillId="3" borderId="2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2" fontId="0" fillId="3" borderId="0" xfId="0" applyNumberFormat="1" applyFill="1" applyAlignment="1">
      <alignment/>
    </xf>
    <xf numFmtId="15" fontId="5" fillId="3" borderId="0" xfId="0" applyNumberFormat="1" applyFont="1" applyFill="1" applyAlignment="1">
      <alignment/>
    </xf>
    <xf numFmtId="0" fontId="0" fillId="3" borderId="2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9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3" borderId="3" xfId="0" applyFont="1" applyFill="1" applyBorder="1" applyAlignment="1">
      <alignment wrapText="1"/>
    </xf>
    <xf numFmtId="0" fontId="0" fillId="3" borderId="3" xfId="0" applyFont="1" applyFill="1" applyBorder="1" applyAlignment="1">
      <alignment horizontal="center"/>
    </xf>
    <xf numFmtId="171" fontId="0" fillId="3" borderId="3" xfId="0" applyNumberFormat="1" applyFont="1" applyFill="1" applyBorder="1" applyAlignment="1">
      <alignment horizontal="center"/>
    </xf>
    <xf numFmtId="164" fontId="0" fillId="3" borderId="3" xfId="0" applyNumberFormat="1" applyFont="1" applyFill="1" applyBorder="1" applyAlignment="1">
      <alignment horizontal="center"/>
    </xf>
    <xf numFmtId="164" fontId="0" fillId="3" borderId="3" xfId="0" applyNumberFormat="1" applyFont="1" applyFill="1" applyBorder="1" applyAlignment="1">
      <alignment horizontal="right"/>
    </xf>
    <xf numFmtId="169" fontId="0" fillId="3" borderId="3" xfId="0" applyNumberFormat="1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/>
    </xf>
    <xf numFmtId="165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164" fontId="0" fillId="3" borderId="8" xfId="0" applyNumberFormat="1" applyFont="1" applyFill="1" applyBorder="1" applyAlignment="1">
      <alignment horizontal="right"/>
    </xf>
    <xf numFmtId="165" fontId="0" fillId="3" borderId="10" xfId="0" applyNumberFormat="1" applyFill="1" applyBorder="1" applyAlignment="1">
      <alignment horizontal="center"/>
    </xf>
    <xf numFmtId="164" fontId="0" fillId="3" borderId="5" xfId="0" applyNumberFormat="1" applyFont="1" applyFill="1" applyBorder="1" applyAlignment="1">
      <alignment horizontal="right"/>
    </xf>
    <xf numFmtId="0" fontId="0" fillId="3" borderId="12" xfId="0" applyFill="1" applyBorder="1" applyAlignment="1">
      <alignment/>
    </xf>
    <xf numFmtId="2" fontId="0" fillId="3" borderId="12" xfId="0" applyNumberFormat="1" applyFill="1" applyBorder="1" applyAlignment="1">
      <alignment/>
    </xf>
    <xf numFmtId="15" fontId="5" fillId="3" borderId="12" xfId="0" applyNumberFormat="1" applyFont="1" applyFill="1" applyBorder="1" applyAlignment="1">
      <alignment/>
    </xf>
    <xf numFmtId="2" fontId="0" fillId="3" borderId="3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left"/>
    </xf>
    <xf numFmtId="2" fontId="0" fillId="2" borderId="1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3" borderId="2" xfId="0" applyNumberFormat="1" applyFill="1" applyBorder="1" applyAlignment="1">
      <alignment horizontal="center"/>
    </xf>
    <xf numFmtId="0" fontId="0" fillId="3" borderId="5" xfId="0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3" xfId="0" applyFont="1" applyFill="1" applyBorder="1" applyAlignment="1">
      <alignment horizontal="center"/>
    </xf>
    <xf numFmtId="171" fontId="1" fillId="3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right"/>
    </xf>
    <xf numFmtId="164" fontId="1" fillId="3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right"/>
    </xf>
    <xf numFmtId="169" fontId="1" fillId="3" borderId="7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171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" borderId="13" xfId="0" applyFont="1" applyFill="1" applyBorder="1" applyAlignment="1">
      <alignment horizontal="center"/>
    </xf>
    <xf numFmtId="171" fontId="0" fillId="3" borderId="13" xfId="0" applyNumberFormat="1" applyFont="1" applyFill="1" applyBorder="1" applyAlignment="1">
      <alignment horizontal="center"/>
    </xf>
    <xf numFmtId="171" fontId="0" fillId="3" borderId="2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/>
    </xf>
    <xf numFmtId="169" fontId="1" fillId="3" borderId="2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/>
    </xf>
    <xf numFmtId="2" fontId="1" fillId="3" borderId="2" xfId="0" applyNumberFormat="1" applyFont="1" applyFill="1" applyBorder="1" applyAlignment="1">
      <alignment horizontal="center"/>
    </xf>
    <xf numFmtId="165" fontId="1" fillId="3" borderId="2" xfId="0" applyNumberFormat="1" applyFont="1" applyFill="1" applyBorder="1" applyAlignment="1">
      <alignment horizontal="center"/>
    </xf>
    <xf numFmtId="0" fontId="1" fillId="3" borderId="0" xfId="0" applyFont="1" applyFill="1" applyAlignment="1">
      <alignment/>
    </xf>
    <xf numFmtId="0" fontId="1" fillId="3" borderId="3" xfId="0" applyFont="1" applyFill="1" applyBorder="1" applyAlignment="1">
      <alignment/>
    </xf>
    <xf numFmtId="2" fontId="1" fillId="3" borderId="0" xfId="0" applyNumberFormat="1" applyFont="1" applyFill="1" applyAlignment="1">
      <alignment/>
    </xf>
    <xf numFmtId="15" fontId="8" fillId="3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8" fontId="9" fillId="0" borderId="0" xfId="0" applyNumberFormat="1" applyFont="1" applyFill="1" applyBorder="1" applyAlignment="1">
      <alignment horizontal="right"/>
    </xf>
    <xf numFmtId="178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2" fontId="9" fillId="4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" fontId="9" fillId="4" borderId="0" xfId="0" applyNumberFormat="1" applyFont="1" applyFill="1" applyBorder="1" applyAlignment="1">
      <alignment horizontal="center"/>
    </xf>
    <xf numFmtId="2" fontId="9" fillId="4" borderId="0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164" fontId="9" fillId="0" borderId="0" xfId="0" applyNumberFormat="1" applyFont="1" applyFill="1" applyBorder="1" applyAlignment="1">
      <alignment/>
    </xf>
    <xf numFmtId="1" fontId="9" fillId="4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0" fillId="0" borderId="3" xfId="0" applyFont="1" applyFill="1" applyBorder="1" applyAlignment="1">
      <alignment wrapText="1"/>
    </xf>
    <xf numFmtId="2" fontId="9" fillId="0" borderId="0" xfId="0" applyNumberFormat="1" applyFont="1" applyFill="1" applyBorder="1" applyAlignment="1">
      <alignment horizontal="center"/>
    </xf>
    <xf numFmtId="178" fontId="9" fillId="0" borderId="0" xfId="0" applyNumberFormat="1" applyFont="1" applyFill="1" applyBorder="1" applyAlignment="1">
      <alignment/>
    </xf>
    <xf numFmtId="164" fontId="9" fillId="4" borderId="0" xfId="0" applyNumberFormat="1" applyFont="1" applyFill="1" applyBorder="1" applyAlignment="1">
      <alignment horizontal="center"/>
    </xf>
    <xf numFmtId="1" fontId="9" fillId="5" borderId="0" xfId="0" applyNumberFormat="1" applyFont="1" applyFill="1" applyBorder="1" applyAlignment="1">
      <alignment/>
    </xf>
    <xf numFmtId="1" fontId="9" fillId="5" borderId="0" xfId="0" applyNumberFormat="1" applyFont="1" applyFill="1" applyBorder="1" applyAlignment="1">
      <alignment horizontal="center"/>
    </xf>
    <xf numFmtId="164" fontId="9" fillId="5" borderId="0" xfId="0" applyNumberFormat="1" applyFont="1" applyFill="1" applyBorder="1" applyAlignment="1">
      <alignment horizontal="center"/>
    </xf>
    <xf numFmtId="2" fontId="9" fillId="5" borderId="0" xfId="0" applyNumberFormat="1" applyFont="1" applyFill="1" applyBorder="1" applyAlignment="1">
      <alignment/>
    </xf>
    <xf numFmtId="2" fontId="9" fillId="5" borderId="0" xfId="0" applyNumberFormat="1" applyFont="1" applyFill="1" applyBorder="1" applyAlignment="1">
      <alignment horizontal="center"/>
    </xf>
    <xf numFmtId="0" fontId="0" fillId="5" borderId="0" xfId="0" applyFill="1" applyAlignment="1">
      <alignment/>
    </xf>
    <xf numFmtId="1" fontId="9" fillId="6" borderId="0" xfId="0" applyNumberFormat="1" applyFont="1" applyFill="1" applyBorder="1" applyAlignment="1">
      <alignment/>
    </xf>
    <xf numFmtId="1" fontId="9" fillId="6" borderId="0" xfId="0" applyNumberFormat="1" applyFont="1" applyFill="1" applyBorder="1" applyAlignment="1">
      <alignment horizontal="center"/>
    </xf>
    <xf numFmtId="164" fontId="9" fillId="6" borderId="0" xfId="0" applyNumberFormat="1" applyFont="1" applyFill="1" applyBorder="1" applyAlignment="1">
      <alignment horizontal="center"/>
    </xf>
    <xf numFmtId="2" fontId="9" fillId="6" borderId="0" xfId="0" applyNumberFormat="1" applyFont="1" applyFill="1" applyBorder="1" applyAlignment="1">
      <alignment/>
    </xf>
    <xf numFmtId="2" fontId="9" fillId="6" borderId="0" xfId="0" applyNumberFormat="1" applyFont="1" applyFill="1" applyBorder="1" applyAlignment="1">
      <alignment horizontal="center"/>
    </xf>
    <xf numFmtId="0" fontId="0" fillId="6" borderId="0" xfId="0" applyFill="1" applyAlignment="1">
      <alignment/>
    </xf>
    <xf numFmtId="1" fontId="10" fillId="6" borderId="0" xfId="0" applyNumberFormat="1" applyFont="1" applyFill="1" applyBorder="1" applyAlignment="1">
      <alignment/>
    </xf>
    <xf numFmtId="1" fontId="9" fillId="7" borderId="0" xfId="0" applyNumberFormat="1" applyFont="1" applyFill="1" applyBorder="1" applyAlignment="1">
      <alignment/>
    </xf>
    <xf numFmtId="1" fontId="9" fillId="7" borderId="0" xfId="0" applyNumberFormat="1" applyFont="1" applyFill="1" applyBorder="1" applyAlignment="1">
      <alignment horizontal="center"/>
    </xf>
    <xf numFmtId="2" fontId="9" fillId="7" borderId="0" xfId="0" applyNumberFormat="1" applyFont="1" applyFill="1" applyBorder="1" applyAlignment="1">
      <alignment horizontal="center"/>
    </xf>
    <xf numFmtId="164" fontId="9" fillId="7" borderId="0" xfId="0" applyNumberFormat="1" applyFont="1" applyFill="1" applyBorder="1" applyAlignment="1">
      <alignment horizontal="center"/>
    </xf>
    <xf numFmtId="2" fontId="9" fillId="7" borderId="0" xfId="0" applyNumberFormat="1" applyFont="1" applyFill="1" applyBorder="1" applyAlignment="1">
      <alignment/>
    </xf>
    <xf numFmtId="0" fontId="0" fillId="7" borderId="0" xfId="0" applyFill="1" applyAlignment="1">
      <alignment/>
    </xf>
    <xf numFmtId="1" fontId="9" fillId="8" borderId="0" xfId="0" applyNumberFormat="1" applyFont="1" applyFill="1" applyBorder="1" applyAlignment="1">
      <alignment/>
    </xf>
    <xf numFmtId="1" fontId="9" fillId="8" borderId="0" xfId="0" applyNumberFormat="1" applyFont="1" applyFill="1" applyBorder="1" applyAlignment="1">
      <alignment horizontal="center"/>
    </xf>
    <xf numFmtId="2" fontId="9" fillId="8" borderId="0" xfId="0" applyNumberFormat="1" applyFont="1" applyFill="1" applyBorder="1" applyAlignment="1">
      <alignment horizontal="center"/>
    </xf>
    <xf numFmtId="164" fontId="9" fillId="8" borderId="0" xfId="0" applyNumberFormat="1" applyFont="1" applyFill="1" applyBorder="1" applyAlignment="1">
      <alignment horizontal="center"/>
    </xf>
    <xf numFmtId="2" fontId="9" fillId="8" borderId="0" xfId="0" applyNumberFormat="1" applyFont="1" applyFill="1" applyBorder="1" applyAlignment="1">
      <alignment/>
    </xf>
    <xf numFmtId="0" fontId="0" fillId="8" borderId="0" xfId="0" applyFill="1" applyAlignment="1">
      <alignment/>
    </xf>
    <xf numFmtId="1" fontId="9" fillId="9" borderId="0" xfId="0" applyNumberFormat="1" applyFont="1" applyFill="1" applyBorder="1" applyAlignment="1">
      <alignment/>
    </xf>
    <xf numFmtId="1" fontId="9" fillId="9" borderId="0" xfId="0" applyNumberFormat="1" applyFont="1" applyFill="1" applyBorder="1" applyAlignment="1">
      <alignment horizontal="center"/>
    </xf>
    <xf numFmtId="2" fontId="9" fillId="9" borderId="0" xfId="0" applyNumberFormat="1" applyFont="1" applyFill="1" applyBorder="1" applyAlignment="1">
      <alignment horizontal="center"/>
    </xf>
    <xf numFmtId="164" fontId="9" fillId="9" borderId="0" xfId="0" applyNumberFormat="1" applyFont="1" applyFill="1" applyBorder="1" applyAlignment="1">
      <alignment horizontal="center"/>
    </xf>
    <xf numFmtId="2" fontId="9" fillId="9" borderId="0" xfId="0" applyNumberFormat="1" applyFont="1" applyFill="1" applyBorder="1" applyAlignment="1">
      <alignment/>
    </xf>
    <xf numFmtId="0" fontId="0" fillId="9" borderId="0" xfId="0" applyFill="1" applyAlignment="1">
      <alignment/>
    </xf>
    <xf numFmtId="1" fontId="9" fillId="10" borderId="0" xfId="0" applyNumberFormat="1" applyFont="1" applyFill="1" applyBorder="1" applyAlignment="1">
      <alignment/>
    </xf>
    <xf numFmtId="1" fontId="9" fillId="10" borderId="0" xfId="0" applyNumberFormat="1" applyFont="1" applyFill="1" applyBorder="1" applyAlignment="1">
      <alignment horizontal="center"/>
    </xf>
    <xf numFmtId="2" fontId="9" fillId="10" borderId="0" xfId="0" applyNumberFormat="1" applyFont="1" applyFill="1" applyBorder="1" applyAlignment="1">
      <alignment horizontal="center"/>
    </xf>
    <xf numFmtId="164" fontId="9" fillId="10" borderId="0" xfId="0" applyNumberFormat="1" applyFont="1" applyFill="1" applyBorder="1" applyAlignment="1">
      <alignment horizontal="center"/>
    </xf>
    <xf numFmtId="2" fontId="9" fillId="10" borderId="0" xfId="0" applyNumberFormat="1" applyFont="1" applyFill="1" applyBorder="1" applyAlignment="1">
      <alignment/>
    </xf>
    <xf numFmtId="0" fontId="0" fillId="10" borderId="0" xfId="0" applyFill="1" applyAlignment="1">
      <alignment/>
    </xf>
    <xf numFmtId="2" fontId="1" fillId="0" borderId="14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S153"/>
  <sheetViews>
    <sheetView tabSelected="1" zoomScale="150" zoomScaleNormal="150" workbookViewId="0" topLeftCell="A1">
      <pane ySplit="1305" topLeftCell="BM104" activePane="bottomLeft" state="split"/>
      <selection pane="topLeft" activeCell="V1" sqref="V1:V16384"/>
      <selection pane="bottomLeft" activeCell="D136" sqref="D136"/>
    </sheetView>
  </sheetViews>
  <sheetFormatPr defaultColWidth="9.00390625" defaultRowHeight="12"/>
  <cols>
    <col min="1" max="1" width="13.75390625" style="114" customWidth="1"/>
    <col min="2" max="2" width="4.875" style="115" bestFit="1" customWidth="1"/>
    <col min="3" max="3" width="4.875" style="116" bestFit="1" customWidth="1"/>
    <col min="4" max="4" width="2.00390625" style="115" customWidth="1"/>
    <col min="5" max="5" width="4.875" style="115" bestFit="1" customWidth="1"/>
    <col min="6" max="6" width="6.125" style="116" bestFit="1" customWidth="1"/>
    <col min="7" max="7" width="2.25390625" style="115" customWidth="1"/>
    <col min="8" max="9" width="5.75390625" style="118" bestFit="1" customWidth="1"/>
    <col min="10" max="10" width="6.375" style="118" bestFit="1" customWidth="1"/>
    <col min="11" max="11" width="7.125" style="118" bestFit="1" customWidth="1"/>
    <col min="12" max="12" width="4.00390625" style="115" bestFit="1" customWidth="1"/>
    <col min="13" max="13" width="4.875" style="120" bestFit="1" customWidth="1"/>
    <col min="14" max="15" width="10.375" style="115" bestFit="1" customWidth="1"/>
    <col min="16" max="16" width="7.75390625" style="115" bestFit="1" customWidth="1"/>
    <col min="17" max="17" width="5.25390625" style="115" bestFit="1" customWidth="1"/>
    <col min="18" max="18" width="5.75390625" style="115" bestFit="1" customWidth="1"/>
    <col min="19" max="21" width="5.375" style="115" bestFit="1" customWidth="1"/>
    <col min="22" max="22" width="18.375" style="115" bestFit="1" customWidth="1"/>
    <col min="23" max="16384" width="9.00390625" style="115" customWidth="1"/>
  </cols>
  <sheetData>
    <row r="1" spans="1:22" ht="11.25">
      <c r="A1" s="114" t="s">
        <v>133</v>
      </c>
      <c r="C1" s="116" t="s">
        <v>134</v>
      </c>
      <c r="F1" s="116" t="s">
        <v>135</v>
      </c>
      <c r="H1" s="118" t="s">
        <v>136</v>
      </c>
      <c r="I1" s="118" t="s">
        <v>136</v>
      </c>
      <c r="J1" s="118" t="s">
        <v>137</v>
      </c>
      <c r="K1" s="119" t="s">
        <v>138</v>
      </c>
      <c r="L1" s="115" t="s">
        <v>139</v>
      </c>
      <c r="M1" s="120" t="s">
        <v>140</v>
      </c>
      <c r="N1" s="121" t="s">
        <v>141</v>
      </c>
      <c r="O1" s="122" t="s">
        <v>142</v>
      </c>
      <c r="P1" s="123" t="s">
        <v>143</v>
      </c>
      <c r="Q1" s="115" t="s">
        <v>144</v>
      </c>
      <c r="R1" s="115" t="s">
        <v>145</v>
      </c>
      <c r="S1" s="123" t="s">
        <v>145</v>
      </c>
      <c r="T1" s="123" t="s">
        <v>146</v>
      </c>
      <c r="U1" s="115" t="s">
        <v>147</v>
      </c>
      <c r="V1" s="115" t="s">
        <v>148</v>
      </c>
    </row>
    <row r="2" spans="1:21" ht="11.25">
      <c r="A2" s="114" t="s">
        <v>149</v>
      </c>
      <c r="H2" s="118" t="s">
        <v>150</v>
      </c>
      <c r="I2" s="118" t="s">
        <v>151</v>
      </c>
      <c r="J2" s="118" t="s">
        <v>151</v>
      </c>
      <c r="K2" s="119" t="s">
        <v>152</v>
      </c>
      <c r="L2" s="115" t="s">
        <v>153</v>
      </c>
      <c r="M2" s="120" t="s">
        <v>153</v>
      </c>
      <c r="N2" s="121" t="s">
        <v>154</v>
      </c>
      <c r="O2" s="122" t="s">
        <v>155</v>
      </c>
      <c r="P2" s="123" t="s">
        <v>156</v>
      </c>
      <c r="Q2" s="115" t="s">
        <v>157</v>
      </c>
      <c r="R2" s="115" t="s">
        <v>158</v>
      </c>
      <c r="S2" s="123" t="s">
        <v>159</v>
      </c>
      <c r="T2" s="123" t="s">
        <v>160</v>
      </c>
      <c r="U2" s="115" t="s">
        <v>161</v>
      </c>
    </row>
    <row r="3" spans="11:20" ht="11.25" customHeight="1">
      <c r="K3" s="119"/>
      <c r="N3" s="122"/>
      <c r="O3" s="122"/>
      <c r="P3" s="123" t="s">
        <v>162</v>
      </c>
      <c r="S3" s="123"/>
      <c r="T3" s="123"/>
    </row>
    <row r="4" spans="11:20" ht="11.25" customHeight="1">
      <c r="K4" s="119"/>
      <c r="N4" s="122"/>
      <c r="O4" s="122"/>
      <c r="P4" s="123"/>
      <c r="S4" s="123"/>
      <c r="T4" s="123"/>
    </row>
    <row r="5" spans="11:20" ht="11.25">
      <c r="K5" s="119"/>
      <c r="N5" s="122"/>
      <c r="O5" s="122">
        <v>39273.416666666664</v>
      </c>
      <c r="P5" s="123"/>
      <c r="S5" s="123"/>
      <c r="T5" s="123"/>
    </row>
    <row r="6" spans="1:45" s="5" customFormat="1" ht="12">
      <c r="A6" s="133" t="s">
        <v>36</v>
      </c>
      <c r="B6" s="125">
        <v>29</v>
      </c>
      <c r="C6" s="134">
        <v>18</v>
      </c>
      <c r="D6" s="126" t="s">
        <v>32</v>
      </c>
      <c r="E6" s="125">
        <v>94</v>
      </c>
      <c r="F6" s="134">
        <v>48</v>
      </c>
      <c r="G6" s="126" t="s">
        <v>33</v>
      </c>
      <c r="H6" s="120">
        <v>0</v>
      </c>
      <c r="I6" s="120">
        <v>0</v>
      </c>
      <c r="J6" s="120">
        <v>0</v>
      </c>
      <c r="K6" s="125">
        <v>0</v>
      </c>
      <c r="L6" s="117">
        <v>0</v>
      </c>
      <c r="M6" s="134">
        <v>0</v>
      </c>
      <c r="N6" s="135">
        <v>39273.416666666664</v>
      </c>
      <c r="O6" s="135">
        <v>39273.416666666664</v>
      </c>
      <c r="P6" s="116">
        <v>0</v>
      </c>
      <c r="Q6" s="117">
        <v>9</v>
      </c>
      <c r="R6" s="130">
        <v>0</v>
      </c>
      <c r="S6" s="116">
        <v>0</v>
      </c>
      <c r="T6" s="116" t="s">
        <v>165</v>
      </c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</row>
    <row r="7" spans="1:45" s="5" customFormat="1" ht="12">
      <c r="A7" s="116" t="s">
        <v>163</v>
      </c>
      <c r="B7" s="125">
        <v>29</v>
      </c>
      <c r="C7" s="134">
        <v>18</v>
      </c>
      <c r="D7" s="126" t="s">
        <v>32</v>
      </c>
      <c r="E7" s="125">
        <v>94</v>
      </c>
      <c r="F7" s="134">
        <v>48</v>
      </c>
      <c r="G7" s="126" t="s">
        <v>33</v>
      </c>
      <c r="H7" s="126">
        <v>0</v>
      </c>
      <c r="I7" s="126">
        <v>0</v>
      </c>
      <c r="J7" s="119">
        <v>0</v>
      </c>
      <c r="K7" s="125">
        <v>0</v>
      </c>
      <c r="L7" s="117">
        <v>0</v>
      </c>
      <c r="M7" s="134">
        <v>0</v>
      </c>
      <c r="N7" s="122">
        <v>39273.416666666664</v>
      </c>
      <c r="O7" s="122">
        <v>39273.416666666664</v>
      </c>
      <c r="P7" s="123">
        <v>0</v>
      </c>
      <c r="Q7" s="117">
        <v>9</v>
      </c>
      <c r="R7" s="130">
        <v>0</v>
      </c>
      <c r="S7" s="116">
        <v>0</v>
      </c>
      <c r="T7" s="116" t="s">
        <v>165</v>
      </c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</row>
    <row r="8" spans="1:45" s="148" customFormat="1" ht="12">
      <c r="A8" s="143">
        <v>1</v>
      </c>
      <c r="B8" s="144">
        <v>29</v>
      </c>
      <c r="C8" s="147">
        <v>0</v>
      </c>
      <c r="D8" s="145" t="s">
        <v>32</v>
      </c>
      <c r="E8" s="144">
        <v>95</v>
      </c>
      <c r="F8" s="147">
        <v>0</v>
      </c>
      <c r="G8" s="145" t="s">
        <v>33</v>
      </c>
      <c r="H8" s="126">
        <v>20.82866888006803</v>
      </c>
      <c r="I8" s="126">
        <v>38.58163765551269</v>
      </c>
      <c r="J8" s="119">
        <v>38.58163765551269</v>
      </c>
      <c r="K8" s="146">
        <v>17</v>
      </c>
      <c r="L8" s="146">
        <v>0.028333333333333332</v>
      </c>
      <c r="M8" s="147">
        <v>0.15</v>
      </c>
      <c r="N8" s="122">
        <v>39273.51309568925</v>
      </c>
      <c r="O8" s="122">
        <v>39273.52052624481</v>
      </c>
      <c r="P8" s="123">
        <v>2.314296542229781</v>
      </c>
      <c r="Q8" s="146">
        <v>9</v>
      </c>
      <c r="R8" s="130">
        <v>2.4926298755631144</v>
      </c>
      <c r="S8" s="116">
        <v>0.1038595781484631</v>
      </c>
      <c r="T8" s="146" t="s">
        <v>165</v>
      </c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</row>
    <row r="9" spans="1:45" s="148" customFormat="1" ht="12">
      <c r="A9" s="143">
        <v>2</v>
      </c>
      <c r="B9" s="144">
        <v>28</v>
      </c>
      <c r="C9" s="147">
        <v>40</v>
      </c>
      <c r="D9" s="145" t="s">
        <v>32</v>
      </c>
      <c r="E9" s="144">
        <v>95</v>
      </c>
      <c r="F9" s="147">
        <v>0</v>
      </c>
      <c r="G9" s="145" t="s">
        <v>33</v>
      </c>
      <c r="H9" s="126">
        <v>20.000000000037943</v>
      </c>
      <c r="I9" s="126">
        <v>37.046666666736954</v>
      </c>
      <c r="J9" s="119">
        <v>75.62830432224965</v>
      </c>
      <c r="K9" s="146">
        <v>27</v>
      </c>
      <c r="L9" s="146">
        <v>0.045</v>
      </c>
      <c r="M9" s="147">
        <v>0.15</v>
      </c>
      <c r="N9" s="122">
        <v>39273.6131188374</v>
      </c>
      <c r="O9" s="122">
        <v>39273.6212438374</v>
      </c>
      <c r="P9" s="123">
        <v>2.222222222226438</v>
      </c>
      <c r="Q9" s="146">
        <v>9</v>
      </c>
      <c r="R9" s="130">
        <v>4.909852097789553</v>
      </c>
      <c r="S9" s="116">
        <v>0.20457717074123138</v>
      </c>
      <c r="T9" s="146" t="s">
        <v>165</v>
      </c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</row>
    <row r="10" spans="1:45" s="148" customFormat="1" ht="12">
      <c r="A10" s="149">
        <v>3</v>
      </c>
      <c r="B10" s="144">
        <v>28</v>
      </c>
      <c r="C10" s="147">
        <v>20</v>
      </c>
      <c r="D10" s="145" t="s">
        <v>32</v>
      </c>
      <c r="E10" s="144">
        <v>95</v>
      </c>
      <c r="F10" s="147">
        <v>0</v>
      </c>
      <c r="G10" s="145" t="s">
        <v>33</v>
      </c>
      <c r="H10" s="126">
        <v>19.999999999972296</v>
      </c>
      <c r="I10" s="126">
        <v>37.04666666661535</v>
      </c>
      <c r="J10" s="119">
        <v>112.674970988865</v>
      </c>
      <c r="K10" s="146">
        <v>40</v>
      </c>
      <c r="L10" s="146">
        <v>0.06666666666666667</v>
      </c>
      <c r="M10" s="147">
        <v>0.15</v>
      </c>
      <c r="N10" s="122">
        <v>39273.71383642999</v>
      </c>
      <c r="O10" s="122">
        <v>39273.72286420777</v>
      </c>
      <c r="P10" s="123">
        <v>2.222222222219144</v>
      </c>
      <c r="Q10" s="146">
        <v>9</v>
      </c>
      <c r="R10" s="130">
        <v>7.348740986675364</v>
      </c>
      <c r="S10" s="116">
        <v>0.3061975411114735</v>
      </c>
      <c r="T10" s="146" t="s">
        <v>165</v>
      </c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</row>
    <row r="11" spans="1:45" s="148" customFormat="1" ht="12">
      <c r="A11" s="143">
        <v>4</v>
      </c>
      <c r="B11" s="144">
        <v>28</v>
      </c>
      <c r="C11" s="147">
        <v>5</v>
      </c>
      <c r="D11" s="145" t="s">
        <v>32</v>
      </c>
      <c r="E11" s="144">
        <v>95</v>
      </c>
      <c r="F11" s="147">
        <v>0</v>
      </c>
      <c r="G11" s="145" t="s">
        <v>33</v>
      </c>
      <c r="H11" s="126">
        <v>14.999999999996778</v>
      </c>
      <c r="I11" s="126">
        <v>27.78499999999403</v>
      </c>
      <c r="J11" s="119">
        <v>140.45997098885903</v>
      </c>
      <c r="K11" s="146">
        <v>60</v>
      </c>
      <c r="L11" s="146">
        <v>0.1</v>
      </c>
      <c r="M11" s="147">
        <v>0.15</v>
      </c>
      <c r="N11" s="122">
        <v>39273.79230865221</v>
      </c>
      <c r="O11" s="122">
        <v>39273.80272531888</v>
      </c>
      <c r="P11" s="123">
        <v>1.6666666666663086</v>
      </c>
      <c r="Q11" s="146">
        <v>9</v>
      </c>
      <c r="R11" s="130">
        <v>9.265407653341672</v>
      </c>
      <c r="S11" s="116">
        <v>0.3860586522225697</v>
      </c>
      <c r="T11" s="146" t="s">
        <v>165</v>
      </c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</row>
    <row r="12" spans="1:45" s="148" customFormat="1" ht="12">
      <c r="A12" s="143">
        <v>5</v>
      </c>
      <c r="B12" s="144">
        <v>27</v>
      </c>
      <c r="C12" s="147">
        <v>50</v>
      </c>
      <c r="D12" s="145" t="s">
        <v>32</v>
      </c>
      <c r="E12" s="144">
        <v>95</v>
      </c>
      <c r="F12" s="147">
        <v>0</v>
      </c>
      <c r="G12" s="145" t="s">
        <v>33</v>
      </c>
      <c r="H12" s="126">
        <v>14.999999999996778</v>
      </c>
      <c r="I12" s="126">
        <v>27.78499999999403</v>
      </c>
      <c r="J12" s="119">
        <v>168.24497098885305</v>
      </c>
      <c r="K12" s="146">
        <v>271</v>
      </c>
      <c r="L12" s="146">
        <v>0.3161666666666667</v>
      </c>
      <c r="M12" s="147">
        <v>0.15</v>
      </c>
      <c r="N12" s="122">
        <v>39273.87216976332</v>
      </c>
      <c r="O12" s="122">
        <v>39273.891593374436</v>
      </c>
      <c r="P12" s="123">
        <v>1.6666666666663086</v>
      </c>
      <c r="Q12" s="146">
        <v>9</v>
      </c>
      <c r="R12" s="130">
        <v>11.398240986674649</v>
      </c>
      <c r="S12" s="116">
        <v>0.47492670777811036</v>
      </c>
      <c r="T12" s="146" t="s">
        <v>165</v>
      </c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</row>
    <row r="13" spans="1:45" s="148" customFormat="1" ht="12">
      <c r="A13" s="143">
        <v>6</v>
      </c>
      <c r="B13" s="144">
        <v>27</v>
      </c>
      <c r="C13" s="147">
        <v>40</v>
      </c>
      <c r="D13" s="145" t="s">
        <v>32</v>
      </c>
      <c r="E13" s="144">
        <v>95</v>
      </c>
      <c r="F13" s="147">
        <v>0</v>
      </c>
      <c r="G13" s="145" t="s">
        <v>33</v>
      </c>
      <c r="H13" s="126">
        <v>10.000000000086906</v>
      </c>
      <c r="I13" s="126">
        <v>18.52333333349431</v>
      </c>
      <c r="J13" s="119">
        <v>186.76830432234738</v>
      </c>
      <c r="K13" s="146">
        <v>610</v>
      </c>
      <c r="L13" s="146">
        <v>0.7116666666666667</v>
      </c>
      <c r="M13" s="147">
        <v>1.15</v>
      </c>
      <c r="N13" s="122">
        <v>39273.937889670735</v>
      </c>
      <c r="O13" s="122">
        <v>39274.01545911518</v>
      </c>
      <c r="P13" s="123">
        <v>1.1111111111207674</v>
      </c>
      <c r="Q13" s="146">
        <v>9</v>
      </c>
      <c r="R13" s="130">
        <v>14.371018764462082</v>
      </c>
      <c r="S13" s="116">
        <v>0.5987924485192534</v>
      </c>
      <c r="T13" s="146" t="s">
        <v>166</v>
      </c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</row>
    <row r="14" spans="1:45" s="148" customFormat="1" ht="12">
      <c r="A14" s="143">
        <v>7</v>
      </c>
      <c r="B14" s="144">
        <v>27</v>
      </c>
      <c r="C14" s="147">
        <v>30</v>
      </c>
      <c r="D14" s="145" t="s">
        <v>32</v>
      </c>
      <c r="E14" s="144">
        <v>95</v>
      </c>
      <c r="F14" s="147">
        <v>0</v>
      </c>
      <c r="G14" s="145" t="s">
        <v>33</v>
      </c>
      <c r="H14" s="126">
        <v>9.999999999955612</v>
      </c>
      <c r="I14" s="126">
        <v>18.523333333251113</v>
      </c>
      <c r="J14" s="119">
        <v>205.2916376555985</v>
      </c>
      <c r="K14" s="146">
        <v>877</v>
      </c>
      <c r="L14" s="146">
        <v>1.0231666666666666</v>
      </c>
      <c r="M14" s="147">
        <v>1.15</v>
      </c>
      <c r="N14" s="122">
        <v>39274.06175541148</v>
      </c>
      <c r="O14" s="122">
        <v>39274.15230402259</v>
      </c>
      <c r="P14" s="123">
        <v>1.111111111106179</v>
      </c>
      <c r="Q14" s="146">
        <v>9</v>
      </c>
      <c r="R14" s="130">
        <v>17.65529654223493</v>
      </c>
      <c r="S14" s="116">
        <v>0.7356373559264554</v>
      </c>
      <c r="T14" s="146" t="s">
        <v>166</v>
      </c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</row>
    <row r="15" spans="1:45" s="148" customFormat="1" ht="12">
      <c r="A15" s="143">
        <v>8</v>
      </c>
      <c r="B15" s="144">
        <v>27</v>
      </c>
      <c r="C15" s="147">
        <v>20</v>
      </c>
      <c r="D15" s="145" t="s">
        <v>32</v>
      </c>
      <c r="E15" s="144">
        <v>95</v>
      </c>
      <c r="F15" s="147">
        <v>0</v>
      </c>
      <c r="G15" s="145" t="s">
        <v>33</v>
      </c>
      <c r="H15" s="126">
        <v>9.999999999955612</v>
      </c>
      <c r="I15" s="126">
        <v>18.523333333251113</v>
      </c>
      <c r="J15" s="119">
        <v>223.8149709888496</v>
      </c>
      <c r="K15" s="146">
        <v>1114</v>
      </c>
      <c r="L15" s="146">
        <v>1.2996666666666667</v>
      </c>
      <c r="M15" s="147">
        <v>1.15</v>
      </c>
      <c r="N15" s="122">
        <v>39274.19860031889</v>
      </c>
      <c r="O15" s="122">
        <v>39274.30066976333</v>
      </c>
      <c r="P15" s="123">
        <v>1.111111111106179</v>
      </c>
      <c r="Q15" s="146">
        <v>9</v>
      </c>
      <c r="R15" s="130">
        <v>21.216074320007774</v>
      </c>
      <c r="S15" s="116">
        <v>0.8840030966669906</v>
      </c>
      <c r="T15" s="146" t="s">
        <v>166</v>
      </c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</row>
    <row r="16" spans="1:45" s="5" customFormat="1" ht="12">
      <c r="A16" s="132" t="s">
        <v>37</v>
      </c>
      <c r="B16" s="125">
        <v>28</v>
      </c>
      <c r="C16" s="134">
        <v>8</v>
      </c>
      <c r="D16" s="126" t="s">
        <v>32</v>
      </c>
      <c r="E16" s="125">
        <v>94</v>
      </c>
      <c r="F16" s="134">
        <v>15</v>
      </c>
      <c r="G16" s="126" t="s">
        <v>33</v>
      </c>
      <c r="H16" s="126">
        <v>62.37322834588962</v>
      </c>
      <c r="I16" s="126">
        <v>115.53600997270289</v>
      </c>
      <c r="J16" s="119">
        <v>339.3509809615525</v>
      </c>
      <c r="K16" s="116">
        <v>0</v>
      </c>
      <c r="L16" s="116">
        <v>0</v>
      </c>
      <c r="M16" s="134">
        <v>0</v>
      </c>
      <c r="N16" s="122">
        <v>39274.51724347287</v>
      </c>
      <c r="O16" s="122">
        <v>39274.51724347287</v>
      </c>
      <c r="P16" s="123">
        <v>5.197769028824135</v>
      </c>
      <c r="Q16" s="116">
        <v>12</v>
      </c>
      <c r="R16" s="130">
        <v>26.41384334883191</v>
      </c>
      <c r="S16" s="116">
        <v>1.1005768062013297</v>
      </c>
      <c r="T16" s="116" t="s">
        <v>166</v>
      </c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</row>
    <row r="17" spans="1:45" s="5" customFormat="1" ht="12">
      <c r="A17" s="132" t="s">
        <v>37</v>
      </c>
      <c r="B17" s="125">
        <v>28</v>
      </c>
      <c r="C17" s="134">
        <v>18.6</v>
      </c>
      <c r="D17" s="126" t="s">
        <v>32</v>
      </c>
      <c r="E17" s="125">
        <v>91</v>
      </c>
      <c r="F17" s="134">
        <v>2</v>
      </c>
      <c r="G17" s="126" t="s">
        <v>33</v>
      </c>
      <c r="H17" s="126">
        <v>170.38199396885912</v>
      </c>
      <c r="I17" s="126">
        <v>315.6042468283167</v>
      </c>
      <c r="J17" s="119">
        <v>654.9552277898692</v>
      </c>
      <c r="K17" s="116">
        <v>0</v>
      </c>
      <c r="L17" s="116">
        <v>0</v>
      </c>
      <c r="M17" s="134">
        <v>0</v>
      </c>
      <c r="N17" s="122">
        <v>39275.10884761859</v>
      </c>
      <c r="O17" s="122">
        <v>39275.10884761859</v>
      </c>
      <c r="P17" s="123">
        <v>14.198499497404926</v>
      </c>
      <c r="Q17" s="116">
        <v>12</v>
      </c>
      <c r="R17" s="130">
        <v>40.612342846236835</v>
      </c>
      <c r="S17" s="116">
        <v>1.6921809519265347</v>
      </c>
      <c r="T17" s="116" t="s">
        <v>167</v>
      </c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</row>
    <row r="18" spans="1:45" s="142" customFormat="1" ht="12">
      <c r="A18" s="137">
        <v>9</v>
      </c>
      <c r="B18" s="138">
        <v>28</v>
      </c>
      <c r="C18" s="141">
        <v>50</v>
      </c>
      <c r="D18" s="139" t="s">
        <v>32</v>
      </c>
      <c r="E18" s="138">
        <v>90</v>
      </c>
      <c r="F18" s="141">
        <v>49</v>
      </c>
      <c r="G18" s="139" t="s">
        <v>33</v>
      </c>
      <c r="H18" s="126">
        <v>33.411118230088405</v>
      </c>
      <c r="I18" s="126">
        <v>61.88852800153375</v>
      </c>
      <c r="J18" s="119">
        <v>716.8437557914029</v>
      </c>
      <c r="K18" s="140">
        <v>16</v>
      </c>
      <c r="L18" s="140">
        <v>0.02666666666666667</v>
      </c>
      <c r="M18" s="141">
        <v>0.15</v>
      </c>
      <c r="N18" s="122">
        <v>39275.22485844578</v>
      </c>
      <c r="O18" s="122">
        <v>39275.23221955689</v>
      </c>
      <c r="P18" s="123">
        <v>2.784259852507367</v>
      </c>
      <c r="Q18" s="140">
        <v>12</v>
      </c>
      <c r="R18" s="130">
        <v>43.573269365410866</v>
      </c>
      <c r="S18" s="116">
        <v>1.8155528902254527</v>
      </c>
      <c r="T18" s="140" t="s">
        <v>167</v>
      </c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</row>
    <row r="19" spans="1:45" s="142" customFormat="1" ht="12">
      <c r="A19" s="137">
        <v>10</v>
      </c>
      <c r="B19" s="138">
        <v>28</v>
      </c>
      <c r="C19" s="141">
        <v>52</v>
      </c>
      <c r="D19" s="139" t="s">
        <v>32</v>
      </c>
      <c r="E19" s="138">
        <v>90</v>
      </c>
      <c r="F19" s="141">
        <v>29</v>
      </c>
      <c r="G19" s="139" t="s">
        <v>33</v>
      </c>
      <c r="H19" s="126">
        <v>17.631513032710888</v>
      </c>
      <c r="I19" s="126">
        <v>32.65943930759147</v>
      </c>
      <c r="J19" s="119">
        <v>749.5031950989944</v>
      </c>
      <c r="K19" s="140">
        <v>18</v>
      </c>
      <c r="L19" s="140">
        <v>0.03</v>
      </c>
      <c r="M19" s="141">
        <v>0.15</v>
      </c>
      <c r="N19" s="122">
        <v>39275.31384693204</v>
      </c>
      <c r="O19" s="122">
        <v>39275.32134693204</v>
      </c>
      <c r="P19" s="123">
        <v>1.9590570036345432</v>
      </c>
      <c r="Q19" s="140">
        <v>9</v>
      </c>
      <c r="R19" s="130">
        <v>45.71232636904541</v>
      </c>
      <c r="S19" s="116">
        <v>1.904680265376892</v>
      </c>
      <c r="T19" s="140" t="s">
        <v>167</v>
      </c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</row>
    <row r="20" spans="1:45" s="142" customFormat="1" ht="12">
      <c r="A20" s="137">
        <v>11</v>
      </c>
      <c r="B20" s="138">
        <v>29</v>
      </c>
      <c r="C20" s="141">
        <v>6</v>
      </c>
      <c r="D20" s="139" t="s">
        <v>32</v>
      </c>
      <c r="E20" s="138">
        <v>89</v>
      </c>
      <c r="F20" s="141">
        <v>58</v>
      </c>
      <c r="G20" s="139" t="s">
        <v>33</v>
      </c>
      <c r="H20" s="126">
        <v>30.51819306419071</v>
      </c>
      <c r="I20" s="126">
        <v>56.52986628590259</v>
      </c>
      <c r="J20" s="119">
        <v>806.033061384897</v>
      </c>
      <c r="K20" s="140">
        <v>17</v>
      </c>
      <c r="L20" s="140">
        <v>0.028333333333333332</v>
      </c>
      <c r="M20" s="141">
        <v>0.15</v>
      </c>
      <c r="N20" s="122">
        <v>39275.42731288018</v>
      </c>
      <c r="O20" s="122">
        <v>39275.43474343573</v>
      </c>
      <c r="P20" s="123">
        <v>2.543182755349226</v>
      </c>
      <c r="Q20" s="140">
        <v>12</v>
      </c>
      <c r="R20" s="130">
        <v>48.43384245772797</v>
      </c>
      <c r="S20" s="116">
        <v>2.0180767690719987</v>
      </c>
      <c r="T20" s="140" t="s">
        <v>167</v>
      </c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</row>
    <row r="21" spans="1:45" s="142" customFormat="1" ht="12">
      <c r="A21" s="137">
        <v>12</v>
      </c>
      <c r="B21" s="138">
        <v>29</v>
      </c>
      <c r="C21" s="141">
        <v>0</v>
      </c>
      <c r="D21" s="139" t="s">
        <v>32</v>
      </c>
      <c r="E21" s="138">
        <v>90</v>
      </c>
      <c r="F21" s="141">
        <v>0</v>
      </c>
      <c r="G21" s="139" t="s">
        <v>33</v>
      </c>
      <c r="H21" s="126">
        <v>6.249549996122899</v>
      </c>
      <c r="I21" s="126">
        <v>11.57624977615165</v>
      </c>
      <c r="J21" s="119">
        <v>817.6093111610486</v>
      </c>
      <c r="K21" s="140">
        <v>22</v>
      </c>
      <c r="L21" s="140">
        <v>0.03666666666666667</v>
      </c>
      <c r="M21" s="141">
        <v>1.65</v>
      </c>
      <c r="N21" s="122">
        <v>39275.46367653757</v>
      </c>
      <c r="O21" s="122">
        <v>39275.533954315346</v>
      </c>
      <c r="P21" s="123">
        <v>0.6943944440136555</v>
      </c>
      <c r="Q21" s="140">
        <v>9</v>
      </c>
      <c r="R21" s="130">
        <v>50.81490356840829</v>
      </c>
      <c r="S21" s="116">
        <v>2.117287648683679</v>
      </c>
      <c r="T21" s="140" t="s">
        <v>167</v>
      </c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</row>
    <row r="22" spans="1:45" s="142" customFormat="1" ht="12">
      <c r="A22" s="137">
        <v>13</v>
      </c>
      <c r="B22" s="138">
        <v>28</v>
      </c>
      <c r="C22" s="141">
        <v>45</v>
      </c>
      <c r="D22" s="139" t="s">
        <v>32</v>
      </c>
      <c r="E22" s="138">
        <v>90</v>
      </c>
      <c r="F22" s="141">
        <v>0</v>
      </c>
      <c r="G22" s="139" t="s">
        <v>33</v>
      </c>
      <c r="H22" s="126">
        <v>14.999999999996778</v>
      </c>
      <c r="I22" s="126">
        <v>27.78499999999403</v>
      </c>
      <c r="J22" s="119">
        <v>845.3943111610427</v>
      </c>
      <c r="K22" s="140">
        <v>44</v>
      </c>
      <c r="L22" s="140">
        <v>0.07333333333333333</v>
      </c>
      <c r="M22" s="141">
        <v>0.65</v>
      </c>
      <c r="N22" s="122">
        <v>39275.60339875979</v>
      </c>
      <c r="O22" s="122">
        <v>39275.63353764868</v>
      </c>
      <c r="P22" s="123">
        <v>1.6666666666663086</v>
      </c>
      <c r="Q22" s="140">
        <v>9</v>
      </c>
      <c r="R22" s="130">
        <v>53.20490356840793</v>
      </c>
      <c r="S22" s="116">
        <v>2.216870982016997</v>
      </c>
      <c r="T22" s="140" t="s">
        <v>167</v>
      </c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</row>
    <row r="23" spans="1:45" s="142" customFormat="1" ht="12">
      <c r="A23" s="137">
        <v>14</v>
      </c>
      <c r="B23" s="138">
        <v>28</v>
      </c>
      <c r="C23" s="141">
        <v>30</v>
      </c>
      <c r="D23" s="139" t="s">
        <v>32</v>
      </c>
      <c r="E23" s="138">
        <v>90</v>
      </c>
      <c r="F23" s="141">
        <v>0</v>
      </c>
      <c r="G23" s="139" t="s">
        <v>33</v>
      </c>
      <c r="H23" s="126">
        <v>14.999999999996778</v>
      </c>
      <c r="I23" s="126">
        <v>27.78499999999403</v>
      </c>
      <c r="J23" s="119">
        <v>873.1793111610367</v>
      </c>
      <c r="K23" s="140">
        <v>91</v>
      </c>
      <c r="L23" s="140">
        <v>0.15166666666666667</v>
      </c>
      <c r="M23" s="141">
        <v>0.65</v>
      </c>
      <c r="N23" s="122">
        <v>39275.70298209313</v>
      </c>
      <c r="O23" s="122">
        <v>39275.73638487091</v>
      </c>
      <c r="P23" s="123">
        <v>1.6666666666663086</v>
      </c>
      <c r="Q23" s="140">
        <v>9</v>
      </c>
      <c r="R23" s="130">
        <v>55.6732369017409</v>
      </c>
      <c r="S23" s="116">
        <v>2.319718204239204</v>
      </c>
      <c r="T23" s="140" t="s">
        <v>167</v>
      </c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</row>
    <row r="24" spans="1:45" s="142" customFormat="1" ht="12">
      <c r="A24" s="137">
        <v>15</v>
      </c>
      <c r="B24" s="138">
        <v>28</v>
      </c>
      <c r="C24" s="141">
        <v>15</v>
      </c>
      <c r="D24" s="139" t="s">
        <v>32</v>
      </c>
      <c r="E24" s="138">
        <v>90</v>
      </c>
      <c r="F24" s="141">
        <v>0</v>
      </c>
      <c r="G24" s="139" t="s">
        <v>33</v>
      </c>
      <c r="H24" s="126">
        <v>14.999999999996778</v>
      </c>
      <c r="I24" s="126">
        <v>27.78499999999403</v>
      </c>
      <c r="J24" s="119">
        <v>900.9643111610308</v>
      </c>
      <c r="K24" s="140">
        <v>146</v>
      </c>
      <c r="L24" s="140">
        <v>0.24333333333333332</v>
      </c>
      <c r="M24" s="141">
        <v>0.65</v>
      </c>
      <c r="N24" s="122">
        <v>39275.80582931535</v>
      </c>
      <c r="O24" s="122">
        <v>39275.84305153757</v>
      </c>
      <c r="P24" s="123">
        <v>1.6666666666663086</v>
      </c>
      <c r="Q24" s="140">
        <v>9</v>
      </c>
      <c r="R24" s="130">
        <v>58.23323690174054</v>
      </c>
      <c r="S24" s="116">
        <v>2.426384870905856</v>
      </c>
      <c r="T24" s="140" t="s">
        <v>167</v>
      </c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</row>
    <row r="25" spans="1:45" s="142" customFormat="1" ht="12">
      <c r="A25" s="137">
        <v>16</v>
      </c>
      <c r="B25" s="138">
        <v>28</v>
      </c>
      <c r="C25" s="141">
        <v>5</v>
      </c>
      <c r="D25" s="139" t="s">
        <v>32</v>
      </c>
      <c r="E25" s="138">
        <v>90</v>
      </c>
      <c r="F25" s="141">
        <v>0</v>
      </c>
      <c r="G25" s="139" t="s">
        <v>33</v>
      </c>
      <c r="H25" s="126">
        <v>9.999999999955612</v>
      </c>
      <c r="I25" s="126">
        <v>18.523333333251113</v>
      </c>
      <c r="J25" s="119">
        <v>919.4876444942819</v>
      </c>
      <c r="K25" s="140">
        <v>347</v>
      </c>
      <c r="L25" s="140">
        <v>0.4048333333333334</v>
      </c>
      <c r="M25" s="141">
        <v>0.9</v>
      </c>
      <c r="N25" s="122">
        <v>39275.88934783387</v>
      </c>
      <c r="O25" s="122">
        <v>39275.94371588943</v>
      </c>
      <c r="P25" s="123">
        <v>1.111111111106179</v>
      </c>
      <c r="Q25" s="140">
        <v>9</v>
      </c>
      <c r="R25" s="130">
        <v>60.64918134618005</v>
      </c>
      <c r="S25" s="116">
        <v>2.527049222757502</v>
      </c>
      <c r="T25" s="140" t="s">
        <v>167</v>
      </c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</row>
    <row r="26" spans="1:45" s="142" customFormat="1" ht="12">
      <c r="A26" s="137">
        <v>17</v>
      </c>
      <c r="B26" s="138">
        <v>27</v>
      </c>
      <c r="C26" s="141">
        <v>55</v>
      </c>
      <c r="D26" s="139" t="s">
        <v>32</v>
      </c>
      <c r="E26" s="138">
        <v>90</v>
      </c>
      <c r="F26" s="141">
        <v>0</v>
      </c>
      <c r="G26" s="139" t="s">
        <v>33</v>
      </c>
      <c r="H26" s="126">
        <v>9.999999999955612</v>
      </c>
      <c r="I26" s="126">
        <v>18.523333333251113</v>
      </c>
      <c r="J26" s="119">
        <v>938.010977827533</v>
      </c>
      <c r="K26" s="140">
        <v>676</v>
      </c>
      <c r="L26" s="140">
        <v>0.7886666666666666</v>
      </c>
      <c r="M26" s="141">
        <v>0.9</v>
      </c>
      <c r="N26" s="122">
        <v>39275.99001218573</v>
      </c>
      <c r="O26" s="122">
        <v>39276.06037329684</v>
      </c>
      <c r="P26" s="123">
        <v>1.111111111106179</v>
      </c>
      <c r="Q26" s="140">
        <v>9</v>
      </c>
      <c r="R26" s="130">
        <v>63.44895912395289</v>
      </c>
      <c r="S26" s="116">
        <v>2.643706630164704</v>
      </c>
      <c r="T26" s="140" t="s">
        <v>168</v>
      </c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</row>
    <row r="27" spans="1:45" s="142" customFormat="1" ht="12">
      <c r="A27" s="137">
        <v>18</v>
      </c>
      <c r="B27" s="138">
        <v>27</v>
      </c>
      <c r="C27" s="141">
        <v>45</v>
      </c>
      <c r="D27" s="139" t="s">
        <v>32</v>
      </c>
      <c r="E27" s="138">
        <v>90</v>
      </c>
      <c r="F27" s="141">
        <v>0</v>
      </c>
      <c r="G27" s="139" t="s">
        <v>33</v>
      </c>
      <c r="H27" s="126">
        <v>10.000000000086906</v>
      </c>
      <c r="I27" s="126">
        <v>18.52333333349431</v>
      </c>
      <c r="J27" s="119">
        <v>956.5343111610273</v>
      </c>
      <c r="K27" s="140">
        <v>823</v>
      </c>
      <c r="L27" s="140">
        <v>0.9601666666666666</v>
      </c>
      <c r="M27" s="141">
        <v>0.9</v>
      </c>
      <c r="N27" s="122">
        <v>39276.10666959314</v>
      </c>
      <c r="O27" s="122">
        <v>39276.18417653758</v>
      </c>
      <c r="P27" s="123">
        <v>1.1111111111207674</v>
      </c>
      <c r="Q27" s="140">
        <v>9</v>
      </c>
      <c r="R27" s="130">
        <v>66.42023690174032</v>
      </c>
      <c r="S27" s="116">
        <v>2.767509870905847</v>
      </c>
      <c r="T27" s="140" t="s">
        <v>168</v>
      </c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</row>
    <row r="28" spans="1:45" s="142" customFormat="1" ht="12">
      <c r="A28" s="137">
        <v>19</v>
      </c>
      <c r="B28" s="138">
        <v>27</v>
      </c>
      <c r="C28" s="141">
        <v>35</v>
      </c>
      <c r="D28" s="139" t="s">
        <v>32</v>
      </c>
      <c r="E28" s="138">
        <v>90</v>
      </c>
      <c r="F28" s="141">
        <v>0</v>
      </c>
      <c r="G28" s="139" t="s">
        <v>33</v>
      </c>
      <c r="H28" s="126">
        <v>9.999999999955612</v>
      </c>
      <c r="I28" s="126">
        <v>18.523333333251113</v>
      </c>
      <c r="J28" s="119">
        <v>975.0576444942784</v>
      </c>
      <c r="K28" s="140">
        <v>1080</v>
      </c>
      <c r="L28" s="140">
        <v>1.26</v>
      </c>
      <c r="M28" s="141">
        <v>0.9</v>
      </c>
      <c r="N28" s="122">
        <v>39276.23047283388</v>
      </c>
      <c r="O28" s="122">
        <v>39276.320472833875</v>
      </c>
      <c r="P28" s="123">
        <v>1.111111111106179</v>
      </c>
      <c r="Q28" s="140">
        <v>9</v>
      </c>
      <c r="R28" s="130">
        <v>69.69134801284652</v>
      </c>
      <c r="S28" s="116">
        <v>2.9038061672019384</v>
      </c>
      <c r="T28" s="140" t="s">
        <v>168</v>
      </c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</row>
    <row r="29" spans="1:45" s="5" customFormat="1" ht="12">
      <c r="A29" s="132" t="s">
        <v>37</v>
      </c>
      <c r="B29" s="132">
        <v>29</v>
      </c>
      <c r="C29" s="116">
        <v>20</v>
      </c>
      <c r="D29" s="116" t="s">
        <v>32</v>
      </c>
      <c r="E29" s="132">
        <v>88</v>
      </c>
      <c r="F29" s="116">
        <v>31.2</v>
      </c>
      <c r="G29" s="116" t="s">
        <v>33</v>
      </c>
      <c r="H29" s="126">
        <v>130.8392824580231</v>
      </c>
      <c r="I29" s="126">
        <v>242.35796420641145</v>
      </c>
      <c r="J29" s="119">
        <v>1217.41560870069</v>
      </c>
      <c r="K29" s="116">
        <v>0</v>
      </c>
      <c r="L29" s="116">
        <v>0</v>
      </c>
      <c r="M29" s="134">
        <v>0</v>
      </c>
      <c r="N29" s="122">
        <v>39276.77477589797</v>
      </c>
      <c r="O29" s="122">
        <v>39276.77477589797</v>
      </c>
      <c r="P29" s="123">
        <v>10.903273538168591</v>
      </c>
      <c r="Q29" s="116">
        <v>12</v>
      </c>
      <c r="R29" s="130">
        <v>80.59462155101511</v>
      </c>
      <c r="S29" s="116">
        <v>3.358109231292296</v>
      </c>
      <c r="T29" s="116" t="s">
        <v>168</v>
      </c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</row>
    <row r="30" spans="1:45" s="5" customFormat="1" ht="12">
      <c r="A30" s="132" t="s">
        <v>37</v>
      </c>
      <c r="B30" s="132">
        <v>30</v>
      </c>
      <c r="C30" s="116">
        <v>7</v>
      </c>
      <c r="D30" s="116" t="s">
        <v>32</v>
      </c>
      <c r="E30" s="132">
        <v>86</v>
      </c>
      <c r="F30" s="116">
        <v>53</v>
      </c>
      <c r="G30" s="116" t="s">
        <v>33</v>
      </c>
      <c r="H30" s="126">
        <v>97.37071415890375</v>
      </c>
      <c r="I30" s="126">
        <v>180.36301952700939</v>
      </c>
      <c r="J30" s="119">
        <v>1397.7786282276993</v>
      </c>
      <c r="K30" s="116">
        <v>0</v>
      </c>
      <c r="L30" s="116">
        <v>0</v>
      </c>
      <c r="M30" s="134">
        <v>0</v>
      </c>
      <c r="N30" s="122">
        <v>39277.112868655466</v>
      </c>
      <c r="O30" s="122">
        <v>39277.112868655466</v>
      </c>
      <c r="P30" s="123">
        <v>8.114226179908647</v>
      </c>
      <c r="Q30" s="116">
        <v>12</v>
      </c>
      <c r="R30" s="130">
        <v>88.70884773092375</v>
      </c>
      <c r="S30" s="116">
        <v>3.6962019887884896</v>
      </c>
      <c r="T30" s="116" t="s">
        <v>169</v>
      </c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</row>
    <row r="31" spans="1:45" s="5" customFormat="1" ht="12">
      <c r="A31" s="132" t="s">
        <v>37</v>
      </c>
      <c r="B31" s="132">
        <v>27</v>
      </c>
      <c r="C31" s="116">
        <v>54</v>
      </c>
      <c r="D31" s="116" t="s">
        <v>32</v>
      </c>
      <c r="E31" s="132">
        <v>84</v>
      </c>
      <c r="F31" s="116">
        <v>17</v>
      </c>
      <c r="G31" s="116" t="s">
        <v>33</v>
      </c>
      <c r="H31" s="126">
        <v>190.517297965687</v>
      </c>
      <c r="I31" s="126">
        <v>352.90154159844093</v>
      </c>
      <c r="J31" s="119">
        <v>1750.6801698261402</v>
      </c>
      <c r="K31" s="116">
        <v>0</v>
      </c>
      <c r="L31" s="116">
        <v>0</v>
      </c>
      <c r="M31" s="134">
        <v>0</v>
      </c>
      <c r="N31" s="122">
        <v>39277.77438705118</v>
      </c>
      <c r="O31" s="122">
        <v>39277.77438705118</v>
      </c>
      <c r="P31" s="123">
        <v>15.876441497140583</v>
      </c>
      <c r="Q31" s="116">
        <v>12</v>
      </c>
      <c r="R31" s="130">
        <v>104.58528922806434</v>
      </c>
      <c r="S31" s="116">
        <v>4.357720384502681</v>
      </c>
      <c r="T31" s="116" t="s">
        <v>169</v>
      </c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</row>
    <row r="32" spans="1:45" s="148" customFormat="1" ht="12">
      <c r="A32" s="143">
        <v>20</v>
      </c>
      <c r="B32" s="144">
        <v>28</v>
      </c>
      <c r="C32" s="147">
        <v>0</v>
      </c>
      <c r="D32" s="145" t="s">
        <v>32</v>
      </c>
      <c r="E32" s="144">
        <v>83</v>
      </c>
      <c r="F32" s="147">
        <v>0</v>
      </c>
      <c r="G32" s="145" t="s">
        <v>33</v>
      </c>
      <c r="H32" s="126">
        <v>68.28227910984798</v>
      </c>
      <c r="I32" s="126">
        <v>126.48154167114174</v>
      </c>
      <c r="J32" s="119">
        <v>1877.1617114972819</v>
      </c>
      <c r="K32" s="146">
        <v>10</v>
      </c>
      <c r="L32" s="146">
        <v>0.016666666666666666</v>
      </c>
      <c r="M32" s="147">
        <v>0.15</v>
      </c>
      <c r="N32" s="122">
        <v>39278.01147829809</v>
      </c>
      <c r="O32" s="122">
        <v>39278.018422742534</v>
      </c>
      <c r="P32" s="123">
        <v>5.690189925820665</v>
      </c>
      <c r="Q32" s="146">
        <v>12</v>
      </c>
      <c r="R32" s="130">
        <v>110.44214582055167</v>
      </c>
      <c r="S32" s="116">
        <v>4.601756075856319</v>
      </c>
      <c r="T32" s="146" t="s">
        <v>170</v>
      </c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</row>
    <row r="33" spans="1:45" s="148" customFormat="1" ht="12">
      <c r="A33" s="143">
        <v>21</v>
      </c>
      <c r="B33" s="144">
        <v>27</v>
      </c>
      <c r="C33" s="147">
        <v>46.66666666666693</v>
      </c>
      <c r="D33" s="145" t="s">
        <v>32</v>
      </c>
      <c r="E33" s="144">
        <v>83</v>
      </c>
      <c r="F33" s="147">
        <v>20</v>
      </c>
      <c r="G33" s="145" t="s">
        <v>33</v>
      </c>
      <c r="H33" s="126">
        <v>22.1417634346791</v>
      </c>
      <c r="I33" s="126">
        <v>41.01392646883725</v>
      </c>
      <c r="J33" s="119">
        <v>1918.1756379661192</v>
      </c>
      <c r="K33" s="146">
        <v>29</v>
      </c>
      <c r="L33" s="146">
        <v>0.04833333333333333</v>
      </c>
      <c r="M33" s="147">
        <v>0.15</v>
      </c>
      <c r="N33" s="122">
        <v>39278.12093090658</v>
      </c>
      <c r="O33" s="122">
        <v>39278.12919479547</v>
      </c>
      <c r="P33" s="123">
        <v>2.4601959371865667</v>
      </c>
      <c r="Q33" s="146">
        <v>9</v>
      </c>
      <c r="R33" s="130">
        <v>113.10067509107158</v>
      </c>
      <c r="S33" s="116">
        <v>4.712528128794649</v>
      </c>
      <c r="T33" s="146" t="s">
        <v>170</v>
      </c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</row>
    <row r="34" spans="1:45" s="148" customFormat="1" ht="12">
      <c r="A34" s="143">
        <v>22</v>
      </c>
      <c r="B34" s="144">
        <v>27</v>
      </c>
      <c r="C34" s="147">
        <v>33.333333333333215</v>
      </c>
      <c r="D34" s="145" t="s">
        <v>32</v>
      </c>
      <c r="E34" s="144">
        <v>83</v>
      </c>
      <c r="F34" s="147">
        <v>40</v>
      </c>
      <c r="G34" s="145" t="s">
        <v>33</v>
      </c>
      <c r="H34" s="126">
        <v>22.170635849146205</v>
      </c>
      <c r="I34" s="126">
        <v>41.06740780456848</v>
      </c>
      <c r="J34" s="119">
        <v>1959.2430457706878</v>
      </c>
      <c r="K34" s="146">
        <v>46</v>
      </c>
      <c r="L34" s="146">
        <v>0.07666666666666666</v>
      </c>
      <c r="M34" s="147">
        <v>0.65</v>
      </c>
      <c r="N34" s="122">
        <v>39278.2318366281</v>
      </c>
      <c r="O34" s="122">
        <v>39278.26211440588</v>
      </c>
      <c r="P34" s="123">
        <v>2.463403983238467</v>
      </c>
      <c r="Q34" s="146">
        <v>9</v>
      </c>
      <c r="R34" s="130">
        <v>116.29074574097672</v>
      </c>
      <c r="S34" s="116">
        <v>4.845447739207363</v>
      </c>
      <c r="T34" s="146" t="s">
        <v>170</v>
      </c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</row>
    <row r="35" spans="1:45" s="148" customFormat="1" ht="12">
      <c r="A35" s="143">
        <v>23</v>
      </c>
      <c r="B35" s="144">
        <v>27</v>
      </c>
      <c r="C35" s="147">
        <v>20</v>
      </c>
      <c r="D35" s="145" t="s">
        <v>32</v>
      </c>
      <c r="E35" s="144">
        <v>84</v>
      </c>
      <c r="F35" s="147">
        <v>0</v>
      </c>
      <c r="G35" s="145" t="s">
        <v>33</v>
      </c>
      <c r="H35" s="126">
        <v>22.19931653983487</v>
      </c>
      <c r="I35" s="126">
        <v>41.12053400395413</v>
      </c>
      <c r="J35" s="119">
        <v>2000.363579774642</v>
      </c>
      <c r="K35" s="146">
        <v>70</v>
      </c>
      <c r="L35" s="146">
        <v>0.11666666666666667</v>
      </c>
      <c r="M35" s="147">
        <v>0.15</v>
      </c>
      <c r="N35" s="122">
        <v>39278.36488901949</v>
      </c>
      <c r="O35" s="122">
        <v>39278.3760001306</v>
      </c>
      <c r="P35" s="123">
        <v>2.466590726648319</v>
      </c>
      <c r="Q35" s="146">
        <v>9</v>
      </c>
      <c r="R35" s="130">
        <v>119.0240031342917</v>
      </c>
      <c r="S35" s="116">
        <v>4.959333463928821</v>
      </c>
      <c r="T35" s="146" t="s">
        <v>170</v>
      </c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</row>
    <row r="36" spans="1:45" s="148" customFormat="1" ht="12">
      <c r="A36" s="143">
        <v>24</v>
      </c>
      <c r="B36" s="144">
        <v>27</v>
      </c>
      <c r="C36" s="147">
        <v>6.666666666666856</v>
      </c>
      <c r="D36" s="145" t="s">
        <v>32</v>
      </c>
      <c r="E36" s="144">
        <v>84</v>
      </c>
      <c r="F36" s="147">
        <v>20</v>
      </c>
      <c r="G36" s="145" t="s">
        <v>33</v>
      </c>
      <c r="H36" s="126">
        <v>22.227804526600174</v>
      </c>
      <c r="I36" s="126">
        <v>41.17330325143906</v>
      </c>
      <c r="J36" s="119">
        <v>2041.5368830260811</v>
      </c>
      <c r="K36" s="146">
        <v>130</v>
      </c>
      <c r="L36" s="146">
        <v>0.21666666666666667</v>
      </c>
      <c r="M36" s="147">
        <v>0.15</v>
      </c>
      <c r="N36" s="122">
        <v>39278.47890663304</v>
      </c>
      <c r="O36" s="122">
        <v>39278.49418441082</v>
      </c>
      <c r="P36" s="123">
        <v>2.4697560585111304</v>
      </c>
      <c r="Q36" s="146">
        <v>9</v>
      </c>
      <c r="R36" s="130">
        <v>121.8604258594695</v>
      </c>
      <c r="S36" s="116">
        <v>5.077517744144562</v>
      </c>
      <c r="T36" s="146" t="s">
        <v>170</v>
      </c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</row>
    <row r="37" spans="1:45" s="148" customFormat="1" ht="12">
      <c r="A37" s="143">
        <v>25</v>
      </c>
      <c r="B37" s="144">
        <v>26</v>
      </c>
      <c r="C37" s="147">
        <v>53.333333333333144</v>
      </c>
      <c r="D37" s="145" t="s">
        <v>32</v>
      </c>
      <c r="E37" s="144">
        <v>84</v>
      </c>
      <c r="F37" s="147">
        <v>40</v>
      </c>
      <c r="G37" s="145" t="s">
        <v>33</v>
      </c>
      <c r="H37" s="126">
        <v>22.256098838404526</v>
      </c>
      <c r="I37" s="126">
        <v>41.22571374833798</v>
      </c>
      <c r="J37" s="119">
        <v>2082.7625967744193</v>
      </c>
      <c r="K37" s="146">
        <v>220</v>
      </c>
      <c r="L37" s="146">
        <v>0.25666666666666665</v>
      </c>
      <c r="M37" s="147">
        <v>0.15</v>
      </c>
      <c r="N37" s="122">
        <v>39278.59722190544</v>
      </c>
      <c r="O37" s="122">
        <v>39278.614166349886</v>
      </c>
      <c r="P37" s="123">
        <v>2.472899870933836</v>
      </c>
      <c r="Q37" s="146">
        <v>9</v>
      </c>
      <c r="R37" s="130">
        <v>124.73999239707</v>
      </c>
      <c r="S37" s="116">
        <v>5.19749968321125</v>
      </c>
      <c r="T37" s="146" t="s">
        <v>170</v>
      </c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</row>
    <row r="38" spans="1:45" s="148" customFormat="1" ht="12">
      <c r="A38" s="143">
        <v>26</v>
      </c>
      <c r="B38" s="144">
        <v>26</v>
      </c>
      <c r="C38" s="147">
        <v>40</v>
      </c>
      <c r="D38" s="145" t="s">
        <v>32</v>
      </c>
      <c r="E38" s="144">
        <v>85</v>
      </c>
      <c r="F38" s="147">
        <v>0</v>
      </c>
      <c r="G38" s="145" t="s">
        <v>33</v>
      </c>
      <c r="H38" s="126">
        <v>22.284198513706194</v>
      </c>
      <c r="I38" s="126">
        <v>41.27776371355511</v>
      </c>
      <c r="J38" s="119">
        <v>2124.0403604879743</v>
      </c>
      <c r="K38" s="146">
        <v>2720</v>
      </c>
      <c r="L38" s="146">
        <v>3.1733333333333333</v>
      </c>
      <c r="M38" s="147">
        <v>0.15</v>
      </c>
      <c r="N38" s="122">
        <v>39278.717333935594</v>
      </c>
      <c r="O38" s="122">
        <v>39278.855806157815</v>
      </c>
      <c r="P38" s="123">
        <v>2.476022057078466</v>
      </c>
      <c r="Q38" s="146">
        <v>9</v>
      </c>
      <c r="R38" s="130">
        <v>130.5393477874818</v>
      </c>
      <c r="S38" s="116">
        <v>5.439139491145075</v>
      </c>
      <c r="T38" s="146" t="s">
        <v>170</v>
      </c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</row>
    <row r="39" spans="1:45" s="148" customFormat="1" ht="12">
      <c r="A39" s="143">
        <v>27</v>
      </c>
      <c r="B39" s="144">
        <v>26</v>
      </c>
      <c r="C39" s="147">
        <v>26.666666666666785</v>
      </c>
      <c r="D39" s="145" t="s">
        <v>32</v>
      </c>
      <c r="E39" s="144">
        <v>85</v>
      </c>
      <c r="F39" s="147">
        <v>20</v>
      </c>
      <c r="G39" s="145" t="s">
        <v>33</v>
      </c>
      <c r="H39" s="126">
        <v>22.31210260025703</v>
      </c>
      <c r="I39" s="126">
        <v>41.32945138320944</v>
      </c>
      <c r="J39" s="119">
        <v>2165.3698118711836</v>
      </c>
      <c r="K39" s="146">
        <v>3290</v>
      </c>
      <c r="L39" s="146">
        <v>3.8383333333333334</v>
      </c>
      <c r="M39" s="147">
        <v>0.15</v>
      </c>
      <c r="N39" s="122">
        <v>39278.95910292911</v>
      </c>
      <c r="O39" s="122">
        <v>39279.12528348467</v>
      </c>
      <c r="P39" s="123">
        <v>2.47912251113967</v>
      </c>
      <c r="Q39" s="146">
        <v>9</v>
      </c>
      <c r="R39" s="130">
        <v>137.00680363195482</v>
      </c>
      <c r="S39" s="116">
        <v>5.708616817998117</v>
      </c>
      <c r="T39" s="146" t="s">
        <v>164</v>
      </c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</row>
    <row r="40" spans="1:45" s="148" customFormat="1" ht="12">
      <c r="A40" s="143">
        <v>28</v>
      </c>
      <c r="B40" s="144">
        <v>26</v>
      </c>
      <c r="C40" s="147">
        <v>13.333333333333073</v>
      </c>
      <c r="D40" s="145" t="s">
        <v>32</v>
      </c>
      <c r="E40" s="144">
        <v>85</v>
      </c>
      <c r="F40" s="147">
        <v>40</v>
      </c>
      <c r="G40" s="145" t="s">
        <v>33</v>
      </c>
      <c r="H40" s="126">
        <v>22.339810155195593</v>
      </c>
      <c r="I40" s="126">
        <v>41.380775010807305</v>
      </c>
      <c r="J40" s="119">
        <v>2206.750586881991</v>
      </c>
      <c r="K40" s="146">
        <v>3270</v>
      </c>
      <c r="L40" s="146">
        <v>3.815</v>
      </c>
      <c r="M40" s="147">
        <v>0.65</v>
      </c>
      <c r="N40" s="122">
        <v>39279.228708531686</v>
      </c>
      <c r="O40" s="122">
        <v>39279.41475019835</v>
      </c>
      <c r="P40" s="123">
        <v>2.482201128355066</v>
      </c>
      <c r="Q40" s="146">
        <v>9</v>
      </c>
      <c r="R40" s="130">
        <v>143.95400476030989</v>
      </c>
      <c r="S40" s="116">
        <v>5.998083531679579</v>
      </c>
      <c r="T40" s="146" t="s">
        <v>164</v>
      </c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</row>
    <row r="41" spans="1:45" s="148" customFormat="1" ht="12">
      <c r="A41" s="143">
        <v>29</v>
      </c>
      <c r="B41" s="144">
        <v>26</v>
      </c>
      <c r="C41" s="147">
        <v>0</v>
      </c>
      <c r="D41" s="145" t="s">
        <v>32</v>
      </c>
      <c r="E41" s="144">
        <v>86</v>
      </c>
      <c r="F41" s="147">
        <v>0</v>
      </c>
      <c r="G41" s="145" t="s">
        <v>33</v>
      </c>
      <c r="H41" s="126">
        <v>22.36732024467312</v>
      </c>
      <c r="I41" s="126">
        <v>41.43173286654951</v>
      </c>
      <c r="J41" s="119">
        <v>2248.18231974854</v>
      </c>
      <c r="K41" s="146">
        <v>3200</v>
      </c>
      <c r="L41" s="146">
        <v>3.7333333333333334</v>
      </c>
      <c r="M41" s="147">
        <v>0.15</v>
      </c>
      <c r="N41" s="122">
        <v>39279.51830260689</v>
      </c>
      <c r="O41" s="122">
        <v>39279.68010816245</v>
      </c>
      <c r="P41" s="123">
        <v>2.48525780496368</v>
      </c>
      <c r="Q41" s="146">
        <v>9</v>
      </c>
      <c r="R41" s="130">
        <v>150.3225958986069</v>
      </c>
      <c r="S41" s="116">
        <v>6.263441495775287</v>
      </c>
      <c r="T41" s="146" t="s">
        <v>164</v>
      </c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</row>
    <row r="42" spans="1:45" s="5" customFormat="1" ht="12">
      <c r="A42" s="132" t="s">
        <v>37</v>
      </c>
      <c r="B42" s="125">
        <v>24</v>
      </c>
      <c r="C42" s="134">
        <v>22.3</v>
      </c>
      <c r="D42" s="126" t="s">
        <v>32</v>
      </c>
      <c r="E42" s="125">
        <v>82</v>
      </c>
      <c r="F42" s="134">
        <v>39.5</v>
      </c>
      <c r="G42" s="126" t="s">
        <v>33</v>
      </c>
      <c r="H42" s="126">
        <v>206.05823800067014</v>
      </c>
      <c r="I42" s="126">
        <v>381.68854285657466</v>
      </c>
      <c r="J42" s="119">
        <v>2629.870862605115</v>
      </c>
      <c r="K42" s="116">
        <v>0</v>
      </c>
      <c r="L42" s="116">
        <v>0</v>
      </c>
      <c r="M42" s="134">
        <v>0.15</v>
      </c>
      <c r="N42" s="122">
        <v>39280.39558815551</v>
      </c>
      <c r="O42" s="122">
        <v>39280.40183815551</v>
      </c>
      <c r="P42" s="123">
        <v>17.17151983338918</v>
      </c>
      <c r="Q42" s="116">
        <v>12</v>
      </c>
      <c r="R42" s="130">
        <v>167.64411573199607</v>
      </c>
      <c r="S42" s="116">
        <v>6.98517148883317</v>
      </c>
      <c r="T42" s="116" t="s">
        <v>165</v>
      </c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</row>
    <row r="43" spans="1:45" s="5" customFormat="1" ht="12">
      <c r="A43" s="132" t="s">
        <v>37</v>
      </c>
      <c r="B43" s="125">
        <v>24</v>
      </c>
      <c r="C43" s="134">
        <v>54.2</v>
      </c>
      <c r="D43" s="126" t="s">
        <v>32</v>
      </c>
      <c r="E43" s="125">
        <v>80</v>
      </c>
      <c r="F43" s="134">
        <v>30.3</v>
      </c>
      <c r="G43" s="126" t="s">
        <v>33</v>
      </c>
      <c r="H43" s="126">
        <v>121.69169577589318</v>
      </c>
      <c r="I43" s="126">
        <v>225.41358447554612</v>
      </c>
      <c r="J43" s="119">
        <v>2855.284447080661</v>
      </c>
      <c r="K43" s="116">
        <v>0</v>
      </c>
      <c r="L43" s="116">
        <v>0</v>
      </c>
      <c r="M43" s="134">
        <v>0.15</v>
      </c>
      <c r="N43" s="122">
        <v>39280.82437876584</v>
      </c>
      <c r="O43" s="122">
        <v>39280.83062876584</v>
      </c>
      <c r="P43" s="123">
        <v>10.140974647991099</v>
      </c>
      <c r="Q43" s="116">
        <v>12</v>
      </c>
      <c r="R43" s="130">
        <v>177.93509037998717</v>
      </c>
      <c r="S43" s="116">
        <v>7.413962099166132</v>
      </c>
      <c r="T43" s="116" t="s">
        <v>165</v>
      </c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</row>
    <row r="44" spans="1:45" s="5" customFormat="1" ht="12">
      <c r="A44" s="132" t="s">
        <v>37</v>
      </c>
      <c r="B44" s="125">
        <v>25</v>
      </c>
      <c r="C44" s="134">
        <v>43.5</v>
      </c>
      <c r="D44" s="126" t="s">
        <v>32</v>
      </c>
      <c r="E44" s="125">
        <v>80</v>
      </c>
      <c r="F44" s="134">
        <v>4.7</v>
      </c>
      <c r="G44" s="126" t="s">
        <v>33</v>
      </c>
      <c r="H44" s="126">
        <v>54.46115554612097</v>
      </c>
      <c r="I44" s="126">
        <v>100.8802137899314</v>
      </c>
      <c r="J44" s="119">
        <v>2956.1646608705923</v>
      </c>
      <c r="K44" s="116">
        <v>0</v>
      </c>
      <c r="L44" s="116">
        <v>0</v>
      </c>
      <c r="M44" s="134">
        <v>0.15</v>
      </c>
      <c r="N44" s="122">
        <v>39281.01973000038</v>
      </c>
      <c r="O44" s="122">
        <v>39281.02598000038</v>
      </c>
      <c r="P44" s="123">
        <v>4.5384296288434145</v>
      </c>
      <c r="Q44" s="116">
        <v>12</v>
      </c>
      <c r="R44" s="130">
        <v>182.62352000883058</v>
      </c>
      <c r="S44" s="116">
        <v>7.609313333701274</v>
      </c>
      <c r="T44" s="116" t="s">
        <v>166</v>
      </c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</row>
    <row r="45" spans="1:45" s="155" customFormat="1" ht="12">
      <c r="A45" s="150">
        <v>30</v>
      </c>
      <c r="B45" s="151">
        <v>27</v>
      </c>
      <c r="C45" s="152">
        <v>0</v>
      </c>
      <c r="D45" s="153" t="s">
        <v>32</v>
      </c>
      <c r="E45" s="151">
        <v>79</v>
      </c>
      <c r="F45" s="152">
        <v>59.2</v>
      </c>
      <c r="G45" s="153" t="s">
        <v>33</v>
      </c>
      <c r="H45" s="126">
        <v>76.65855191885767</v>
      </c>
      <c r="I45" s="126">
        <v>141.99719100436403</v>
      </c>
      <c r="J45" s="119">
        <v>3098.1618518749565</v>
      </c>
      <c r="K45" s="154">
        <v>50</v>
      </c>
      <c r="L45" s="154">
        <v>0.08333333333333333</v>
      </c>
      <c r="M45" s="152">
        <v>0.15</v>
      </c>
      <c r="N45" s="122">
        <v>39281.29215552787</v>
      </c>
      <c r="O45" s="122">
        <v>39281.3018777501</v>
      </c>
      <c r="P45" s="123">
        <v>6.388212659904806</v>
      </c>
      <c r="Q45" s="154">
        <v>12</v>
      </c>
      <c r="R45" s="130">
        <v>189.24506600206874</v>
      </c>
      <c r="S45" s="116">
        <v>7.885211083419531</v>
      </c>
      <c r="T45" s="154" t="s">
        <v>166</v>
      </c>
      <c r="V45" s="154" t="s">
        <v>173</v>
      </c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</row>
    <row r="46" spans="1:45" s="155" customFormat="1" ht="12">
      <c r="A46" s="150">
        <v>31</v>
      </c>
      <c r="B46" s="151">
        <v>27</v>
      </c>
      <c r="C46" s="152">
        <v>0</v>
      </c>
      <c r="D46" s="153" t="s">
        <v>32</v>
      </c>
      <c r="E46" s="151">
        <v>79</v>
      </c>
      <c r="F46" s="152">
        <v>56</v>
      </c>
      <c r="G46" s="153" t="s">
        <v>33</v>
      </c>
      <c r="H46" s="126">
        <v>2.8512208560349093</v>
      </c>
      <c r="I46" s="126">
        <v>5.281411432328664</v>
      </c>
      <c r="J46" s="119">
        <v>3103.443263307285</v>
      </c>
      <c r="K46" s="154">
        <v>141</v>
      </c>
      <c r="L46" s="154">
        <v>0.235</v>
      </c>
      <c r="M46" s="152">
        <v>1.65</v>
      </c>
      <c r="N46" s="122">
        <v>39281.318849302814</v>
      </c>
      <c r="O46" s="122">
        <v>39281.39739096948</v>
      </c>
      <c r="P46" s="123">
        <v>0.40731726514784417</v>
      </c>
      <c r="Q46" s="154">
        <v>7</v>
      </c>
      <c r="R46" s="130">
        <v>191.5373832672166</v>
      </c>
      <c r="S46" s="116">
        <v>7.980724302800692</v>
      </c>
      <c r="T46" s="154" t="s">
        <v>166</v>
      </c>
      <c r="V46" s="154" t="s">
        <v>172</v>
      </c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</row>
    <row r="47" spans="1:45" s="155" customFormat="1" ht="12">
      <c r="A47" s="150">
        <v>32</v>
      </c>
      <c r="B47" s="151">
        <v>27</v>
      </c>
      <c r="C47" s="152">
        <v>0</v>
      </c>
      <c r="D47" s="153" t="s">
        <v>32</v>
      </c>
      <c r="E47" s="151">
        <v>79</v>
      </c>
      <c r="F47" s="152">
        <v>52</v>
      </c>
      <c r="G47" s="153" t="s">
        <v>33</v>
      </c>
      <c r="H47" s="126">
        <v>3.5640260556702645</v>
      </c>
      <c r="I47" s="126">
        <v>6.601764263786553</v>
      </c>
      <c r="J47" s="119">
        <v>3110.045027571072</v>
      </c>
      <c r="K47" s="154">
        <v>273</v>
      </c>
      <c r="L47" s="154">
        <v>0.3185</v>
      </c>
      <c r="M47" s="152">
        <v>1.5</v>
      </c>
      <c r="N47" s="122">
        <v>39281.41860541029</v>
      </c>
      <c r="O47" s="122">
        <v>39281.49437624362</v>
      </c>
      <c r="P47" s="123">
        <v>0.5091465793814663</v>
      </c>
      <c r="Q47" s="154">
        <v>7</v>
      </c>
      <c r="R47" s="130">
        <v>193.86502984659808</v>
      </c>
      <c r="S47" s="116">
        <v>8.077709576941587</v>
      </c>
      <c r="T47" s="154" t="s">
        <v>166</v>
      </c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</row>
    <row r="48" spans="1:45" s="155" customFormat="1" ht="12">
      <c r="A48" s="150">
        <v>33</v>
      </c>
      <c r="B48" s="151">
        <v>27</v>
      </c>
      <c r="C48" s="152">
        <v>0</v>
      </c>
      <c r="D48" s="153" t="s">
        <v>32</v>
      </c>
      <c r="E48" s="151">
        <v>79</v>
      </c>
      <c r="F48" s="152">
        <v>47</v>
      </c>
      <c r="G48" s="153" t="s">
        <v>33</v>
      </c>
      <c r="H48" s="126">
        <v>4.455032539968597</v>
      </c>
      <c r="I48" s="126">
        <v>8.252205274868498</v>
      </c>
      <c r="J48" s="119">
        <v>3118.2972328459405</v>
      </c>
      <c r="K48" s="154">
        <v>377</v>
      </c>
      <c r="L48" s="154">
        <v>0.4398333333333334</v>
      </c>
      <c r="M48" s="152">
        <v>1.4</v>
      </c>
      <c r="N48" s="122">
        <v>39281.52089429446</v>
      </c>
      <c r="O48" s="122">
        <v>39281.597554016684</v>
      </c>
      <c r="P48" s="123">
        <v>0.6364332199955138</v>
      </c>
      <c r="Q48" s="154">
        <v>7</v>
      </c>
      <c r="R48" s="130">
        <v>196.34129639992693</v>
      </c>
      <c r="S48" s="116">
        <v>8.180887349996956</v>
      </c>
      <c r="T48" s="154" t="s">
        <v>166</v>
      </c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</row>
    <row r="49" spans="1:45" s="155" customFormat="1" ht="12">
      <c r="A49" s="150">
        <v>34</v>
      </c>
      <c r="B49" s="151">
        <v>27</v>
      </c>
      <c r="C49" s="152">
        <v>0</v>
      </c>
      <c r="D49" s="153" t="s">
        <v>32</v>
      </c>
      <c r="E49" s="151">
        <v>79</v>
      </c>
      <c r="F49" s="152">
        <v>41</v>
      </c>
      <c r="G49" s="153" t="s">
        <v>33</v>
      </c>
      <c r="H49" s="126">
        <v>5.346039005183602</v>
      </c>
      <c r="I49" s="126">
        <v>9.902646250601759</v>
      </c>
      <c r="J49" s="119">
        <v>3128.199879096542</v>
      </c>
      <c r="K49" s="154">
        <v>549</v>
      </c>
      <c r="L49" s="154">
        <v>0.6405</v>
      </c>
      <c r="M49" s="152">
        <v>1.25</v>
      </c>
      <c r="N49" s="122">
        <v>39281.62937567743</v>
      </c>
      <c r="O49" s="122">
        <v>39281.70814651076</v>
      </c>
      <c r="P49" s="123">
        <v>0.7637198578833717</v>
      </c>
      <c r="Q49" s="154">
        <v>7</v>
      </c>
      <c r="R49" s="130">
        <v>198.9955162578103</v>
      </c>
      <c r="S49" s="116">
        <v>8.291479844075429</v>
      </c>
      <c r="T49" s="154" t="s">
        <v>166</v>
      </c>
      <c r="V49" s="154" t="s">
        <v>172</v>
      </c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</row>
    <row r="50" spans="1:45" s="155" customFormat="1" ht="12">
      <c r="A50" s="150">
        <v>35</v>
      </c>
      <c r="B50" s="151">
        <v>27</v>
      </c>
      <c r="C50" s="152">
        <v>0</v>
      </c>
      <c r="D50" s="153" t="s">
        <v>32</v>
      </c>
      <c r="E50" s="151">
        <v>79</v>
      </c>
      <c r="F50" s="152">
        <v>37</v>
      </c>
      <c r="G50" s="153" t="s">
        <v>33</v>
      </c>
      <c r="H50" s="126">
        <v>3.5640260556702645</v>
      </c>
      <c r="I50" s="126">
        <v>6.601764263786553</v>
      </c>
      <c r="J50" s="119">
        <v>3134.801643360329</v>
      </c>
      <c r="K50" s="154">
        <v>661</v>
      </c>
      <c r="L50" s="154">
        <v>0.7711666666666667</v>
      </c>
      <c r="M50" s="152">
        <v>1.5</v>
      </c>
      <c r="N50" s="122">
        <v>39281.72936095157</v>
      </c>
      <c r="O50" s="122">
        <v>39281.82399289601</v>
      </c>
      <c r="P50" s="123">
        <v>0.5091465793814663</v>
      </c>
      <c r="Q50" s="154">
        <v>7</v>
      </c>
      <c r="R50" s="130">
        <v>201.77582950385843</v>
      </c>
      <c r="S50" s="116">
        <v>8.407326229327435</v>
      </c>
      <c r="T50" s="154" t="s">
        <v>166</v>
      </c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</row>
    <row r="51" spans="1:45" s="155" customFormat="1" ht="12">
      <c r="A51" s="150">
        <v>36</v>
      </c>
      <c r="B51" s="151">
        <v>27</v>
      </c>
      <c r="C51" s="152">
        <v>0</v>
      </c>
      <c r="D51" s="153" t="s">
        <v>32</v>
      </c>
      <c r="E51" s="151">
        <v>79</v>
      </c>
      <c r="F51" s="152">
        <v>30</v>
      </c>
      <c r="G51" s="153" t="s">
        <v>33</v>
      </c>
      <c r="H51" s="126">
        <v>6.237045447198623</v>
      </c>
      <c r="I51" s="126">
        <v>11.553087183360917</v>
      </c>
      <c r="J51" s="119">
        <v>3146.3547305436896</v>
      </c>
      <c r="K51" s="154">
        <v>760</v>
      </c>
      <c r="L51" s="154">
        <v>0.8866666666666666</v>
      </c>
      <c r="M51" s="152">
        <v>1.1</v>
      </c>
      <c r="N51" s="122">
        <v>39281.86111816653</v>
      </c>
      <c r="O51" s="122">
        <v>39281.943895944314</v>
      </c>
      <c r="P51" s="123">
        <v>0.8910064924569462</v>
      </c>
      <c r="Q51" s="154">
        <v>7</v>
      </c>
      <c r="R51" s="130">
        <v>204.65350266298202</v>
      </c>
      <c r="S51" s="116">
        <v>8.52722927762425</v>
      </c>
      <c r="T51" s="154" t="s">
        <v>166</v>
      </c>
      <c r="V51" s="154" t="s">
        <v>172</v>
      </c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</row>
    <row r="52" spans="1:45" s="155" customFormat="1" ht="12">
      <c r="A52" s="150">
        <v>37</v>
      </c>
      <c r="B52" s="151">
        <v>27</v>
      </c>
      <c r="C52" s="152">
        <v>0</v>
      </c>
      <c r="D52" s="153" t="s">
        <v>32</v>
      </c>
      <c r="E52" s="151">
        <v>79</v>
      </c>
      <c r="F52" s="152">
        <v>23</v>
      </c>
      <c r="G52" s="153" t="s">
        <v>33</v>
      </c>
      <c r="H52" s="126">
        <v>6.237045447198623</v>
      </c>
      <c r="I52" s="126">
        <v>11.553087183360917</v>
      </c>
      <c r="J52" s="119">
        <v>3157.9078177270503</v>
      </c>
      <c r="K52" s="154">
        <v>681</v>
      </c>
      <c r="L52" s="154">
        <v>0.7945</v>
      </c>
      <c r="M52" s="152">
        <v>1.1</v>
      </c>
      <c r="N52" s="122">
        <v>39281.98102121484</v>
      </c>
      <c r="O52" s="122">
        <v>39282.05995871484</v>
      </c>
      <c r="P52" s="123">
        <v>0.8910064924569462</v>
      </c>
      <c r="Q52" s="154">
        <v>7</v>
      </c>
      <c r="R52" s="130">
        <v>207.43900915543895</v>
      </c>
      <c r="S52" s="116">
        <v>8.643292048143289</v>
      </c>
      <c r="T52" s="154" t="s">
        <v>167</v>
      </c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</row>
    <row r="53" spans="1:45" s="155" customFormat="1" ht="12">
      <c r="A53" s="150">
        <v>38</v>
      </c>
      <c r="B53" s="151">
        <v>27</v>
      </c>
      <c r="C53" s="152">
        <v>0</v>
      </c>
      <c r="D53" s="153" t="s">
        <v>32</v>
      </c>
      <c r="E53" s="151">
        <v>79</v>
      </c>
      <c r="F53" s="152">
        <v>17</v>
      </c>
      <c r="G53" s="153" t="s">
        <v>33</v>
      </c>
      <c r="H53" s="126">
        <v>5.346039005183602</v>
      </c>
      <c r="I53" s="126">
        <v>9.902646250601759</v>
      </c>
      <c r="J53" s="119">
        <v>3167.810463977652</v>
      </c>
      <c r="K53" s="154">
        <v>607</v>
      </c>
      <c r="L53" s="154">
        <v>0.7081666666666667</v>
      </c>
      <c r="M53" s="152">
        <v>1.25</v>
      </c>
      <c r="N53" s="122">
        <v>39282.09178037559</v>
      </c>
      <c r="O53" s="122">
        <v>39282.17337065336</v>
      </c>
      <c r="P53" s="123">
        <v>0.7637198578833717</v>
      </c>
      <c r="Q53" s="154">
        <v>7</v>
      </c>
      <c r="R53" s="130">
        <v>210.16089567998898</v>
      </c>
      <c r="S53" s="116">
        <v>8.756703986666208</v>
      </c>
      <c r="T53" s="154" t="s">
        <v>167</v>
      </c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</row>
    <row r="54" spans="1:45" s="155" customFormat="1" ht="12">
      <c r="A54" s="150">
        <v>39</v>
      </c>
      <c r="B54" s="151">
        <v>27</v>
      </c>
      <c r="C54" s="152">
        <v>0</v>
      </c>
      <c r="D54" s="153" t="s">
        <v>32</v>
      </c>
      <c r="E54" s="151">
        <v>79</v>
      </c>
      <c r="F54" s="152">
        <v>12</v>
      </c>
      <c r="G54" s="153" t="s">
        <v>33</v>
      </c>
      <c r="H54" s="126">
        <v>4.455032539968597</v>
      </c>
      <c r="I54" s="126">
        <v>8.252205274868498</v>
      </c>
      <c r="J54" s="119">
        <v>3176.0626692525207</v>
      </c>
      <c r="K54" s="154">
        <v>470</v>
      </c>
      <c r="L54" s="154">
        <v>0.5483333333333333</v>
      </c>
      <c r="M54" s="152">
        <v>1.4</v>
      </c>
      <c r="N54" s="122">
        <v>39282.1998887042</v>
      </c>
      <c r="O54" s="122">
        <v>39282.281069259756</v>
      </c>
      <c r="P54" s="123">
        <v>0.6364332199955138</v>
      </c>
      <c r="Q54" s="154">
        <v>7</v>
      </c>
      <c r="R54" s="130">
        <v>212.74566223331786</v>
      </c>
      <c r="S54" s="116">
        <v>8.86440259305491</v>
      </c>
      <c r="T54" s="154" t="s">
        <v>167</v>
      </c>
      <c r="V54" s="154" t="s">
        <v>172</v>
      </c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</row>
    <row r="55" spans="1:45" s="155" customFormat="1" ht="12">
      <c r="A55" s="150">
        <v>40</v>
      </c>
      <c r="B55" s="151">
        <v>27</v>
      </c>
      <c r="C55" s="152">
        <v>0</v>
      </c>
      <c r="D55" s="153" t="s">
        <v>32</v>
      </c>
      <c r="E55" s="151">
        <v>79</v>
      </c>
      <c r="F55" s="152">
        <v>10.5</v>
      </c>
      <c r="G55" s="153" t="s">
        <v>33</v>
      </c>
      <c r="H55" s="126">
        <v>1.3365097853062078</v>
      </c>
      <c r="I55" s="126">
        <v>2.4756616256488657</v>
      </c>
      <c r="J55" s="119">
        <v>3178.5383308781697</v>
      </c>
      <c r="K55" s="154">
        <v>50</v>
      </c>
      <c r="L55" s="154">
        <v>0.08333333333333333</v>
      </c>
      <c r="M55" s="152">
        <v>1.5</v>
      </c>
      <c r="N55" s="122">
        <v>39282.28902467514</v>
      </c>
      <c r="O55" s="122">
        <v>39282.35499689736</v>
      </c>
      <c r="P55" s="123">
        <v>0.19092996932945824</v>
      </c>
      <c r="Q55" s="154">
        <v>7</v>
      </c>
      <c r="R55" s="130">
        <v>214.51992553598066</v>
      </c>
      <c r="S55" s="116">
        <v>8.93833023066586</v>
      </c>
      <c r="T55" s="154" t="s">
        <v>167</v>
      </c>
      <c r="V55" s="154" t="s">
        <v>174</v>
      </c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</row>
    <row r="56" spans="1:45" s="5" customFormat="1" ht="12">
      <c r="A56" s="132" t="s">
        <v>11</v>
      </c>
      <c r="B56" s="125">
        <v>27</v>
      </c>
      <c r="C56" s="134">
        <v>0</v>
      </c>
      <c r="D56" s="126" t="s">
        <v>32</v>
      </c>
      <c r="E56" s="125">
        <v>79</v>
      </c>
      <c r="F56" s="134">
        <v>10.5</v>
      </c>
      <c r="G56" s="126" t="s">
        <v>33</v>
      </c>
      <c r="H56" s="126">
        <v>0</v>
      </c>
      <c r="I56" s="126">
        <v>0</v>
      </c>
      <c r="J56" s="119">
        <v>3178.5383308781697</v>
      </c>
      <c r="K56" s="116">
        <v>0</v>
      </c>
      <c r="L56" s="116">
        <v>0</v>
      </c>
      <c r="M56" s="134">
        <v>4</v>
      </c>
      <c r="N56" s="122">
        <v>39282.35499689736</v>
      </c>
      <c r="O56" s="122">
        <v>39282.521663564024</v>
      </c>
      <c r="P56" s="123">
        <v>0</v>
      </c>
      <c r="Q56" s="116">
        <v>12</v>
      </c>
      <c r="R56" s="130">
        <v>218.51992553598066</v>
      </c>
      <c r="S56" s="116">
        <v>9.104996897332528</v>
      </c>
      <c r="T56" s="116" t="s">
        <v>167</v>
      </c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</row>
    <row r="57" spans="1:45" s="5" customFormat="1" ht="12">
      <c r="A57" s="132" t="s">
        <v>37</v>
      </c>
      <c r="B57" s="125">
        <v>27</v>
      </c>
      <c r="C57" s="134">
        <v>46.5</v>
      </c>
      <c r="D57" s="126" t="s">
        <v>32</v>
      </c>
      <c r="E57" s="125">
        <v>79</v>
      </c>
      <c r="F57" s="134">
        <v>59</v>
      </c>
      <c r="G57" s="126" t="s">
        <v>33</v>
      </c>
      <c r="H57" s="126">
        <v>63.377387015788116</v>
      </c>
      <c r="I57" s="126">
        <v>117.39604654891151</v>
      </c>
      <c r="J57" s="119">
        <v>3295.9343774270815</v>
      </c>
      <c r="K57" s="116">
        <v>0</v>
      </c>
      <c r="L57" s="116">
        <v>0</v>
      </c>
      <c r="M57" s="134">
        <v>0</v>
      </c>
      <c r="N57" s="122">
        <v>39282.74172393561</v>
      </c>
      <c r="O57" s="122">
        <v>39282.74172393561</v>
      </c>
      <c r="P57" s="123">
        <v>5.281448917982343</v>
      </c>
      <c r="Q57" s="116">
        <v>12</v>
      </c>
      <c r="R57" s="130">
        <v>223.801374453963</v>
      </c>
      <c r="S57" s="116">
        <v>9.325057268915126</v>
      </c>
      <c r="T57" s="116" t="s">
        <v>167</v>
      </c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</row>
    <row r="58" spans="1:45" s="5" customFormat="1" ht="12">
      <c r="A58" s="132" t="s">
        <v>37</v>
      </c>
      <c r="B58" s="125">
        <v>30</v>
      </c>
      <c r="C58" s="134">
        <v>22.7</v>
      </c>
      <c r="D58" s="126" t="s">
        <v>32</v>
      </c>
      <c r="E58" s="125">
        <v>80</v>
      </c>
      <c r="F58" s="134">
        <v>13.1</v>
      </c>
      <c r="G58" s="126" t="s">
        <v>33</v>
      </c>
      <c r="H58" s="126">
        <v>156.6851793221084</v>
      </c>
      <c r="I58" s="126">
        <v>290.23318049765214</v>
      </c>
      <c r="J58" s="119">
        <v>3586.1675579247335</v>
      </c>
      <c r="K58" s="116">
        <v>0</v>
      </c>
      <c r="L58" s="116">
        <v>0</v>
      </c>
      <c r="M58" s="134">
        <v>0</v>
      </c>
      <c r="N58" s="122">
        <v>39283.28576969714</v>
      </c>
      <c r="O58" s="122">
        <v>39283.28576969714</v>
      </c>
      <c r="P58" s="123">
        <v>13.057098276842368</v>
      </c>
      <c r="Q58" s="116">
        <v>12</v>
      </c>
      <c r="R58" s="130">
        <v>236.85847273080537</v>
      </c>
      <c r="S58" s="116">
        <v>9.869103030450225</v>
      </c>
      <c r="T58" s="116" t="s">
        <v>168</v>
      </c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</row>
    <row r="59" spans="1:45" s="161" customFormat="1" ht="12">
      <c r="A59" s="156">
        <v>41</v>
      </c>
      <c r="B59" s="157">
        <v>31</v>
      </c>
      <c r="C59" s="158">
        <v>30.244</v>
      </c>
      <c r="D59" s="159" t="s">
        <v>32</v>
      </c>
      <c r="E59" s="157">
        <v>81</v>
      </c>
      <c r="F59" s="158">
        <v>0.644</v>
      </c>
      <c r="G59" s="159" t="s">
        <v>33</v>
      </c>
      <c r="H59" s="126">
        <v>78.89829598687338</v>
      </c>
      <c r="I59" s="126">
        <v>146.14594359968513</v>
      </c>
      <c r="J59" s="119">
        <v>3732.313501524419</v>
      </c>
      <c r="K59" s="160">
        <v>9</v>
      </c>
      <c r="L59" s="160">
        <v>0.015</v>
      </c>
      <c r="M59" s="158">
        <v>0.15</v>
      </c>
      <c r="N59" s="122">
        <v>39283.559722113765</v>
      </c>
      <c r="O59" s="122">
        <v>39283.566597113764</v>
      </c>
      <c r="P59" s="123">
        <v>6.574857998906115</v>
      </c>
      <c r="Q59" s="160">
        <v>12</v>
      </c>
      <c r="R59" s="130">
        <v>243.59833072971148</v>
      </c>
      <c r="S59" s="116">
        <v>10.149930447071311</v>
      </c>
      <c r="T59" s="160" t="s">
        <v>168</v>
      </c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</row>
    <row r="60" spans="1:45" s="161" customFormat="1" ht="12">
      <c r="A60" s="156">
        <v>42</v>
      </c>
      <c r="B60" s="157">
        <v>31</v>
      </c>
      <c r="C60" s="158">
        <v>28.0088</v>
      </c>
      <c r="D60" s="159" t="s">
        <v>32</v>
      </c>
      <c r="E60" s="157">
        <v>80</v>
      </c>
      <c r="F60" s="158">
        <v>55.288</v>
      </c>
      <c r="G60" s="159" t="s">
        <v>33</v>
      </c>
      <c r="H60" s="126">
        <v>5.085049814108903</v>
      </c>
      <c r="I60" s="126">
        <v>9.419207272334392</v>
      </c>
      <c r="J60" s="119">
        <v>3741.7327087967533</v>
      </c>
      <c r="K60" s="160">
        <v>13</v>
      </c>
      <c r="L60" s="160">
        <v>0.021666666666666667</v>
      </c>
      <c r="M60" s="158">
        <v>1.4</v>
      </c>
      <c r="N60" s="122">
        <v>39283.593081748215</v>
      </c>
      <c r="O60" s="122">
        <v>39283.65231785933</v>
      </c>
      <c r="P60" s="123">
        <v>0.6356312267636128</v>
      </c>
      <c r="Q60" s="160">
        <v>8</v>
      </c>
      <c r="R60" s="130">
        <v>245.65562862314178</v>
      </c>
      <c r="S60" s="116">
        <v>10.235651192630908</v>
      </c>
      <c r="T60" s="160" t="s">
        <v>168</v>
      </c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</row>
    <row r="61" spans="1:45" s="161" customFormat="1" ht="12">
      <c r="A61" s="156" t="s">
        <v>130</v>
      </c>
      <c r="B61" s="157">
        <v>31</v>
      </c>
      <c r="C61" s="158">
        <v>24.08</v>
      </c>
      <c r="D61" s="159" t="s">
        <v>32</v>
      </c>
      <c r="E61" s="157">
        <v>80</v>
      </c>
      <c r="F61" s="158">
        <v>52.14</v>
      </c>
      <c r="G61" s="159" t="s">
        <v>33</v>
      </c>
      <c r="H61" s="126">
        <v>4.759209461124208</v>
      </c>
      <c r="I61" s="126">
        <v>8.815642325155743</v>
      </c>
      <c r="J61" s="119">
        <v>3750.548351121909</v>
      </c>
      <c r="K61" s="160">
        <v>20</v>
      </c>
      <c r="L61" s="160">
        <v>0.03333333333333333</v>
      </c>
      <c r="M61" s="158">
        <v>1.5</v>
      </c>
      <c r="N61" s="122">
        <v>39283.677105408606</v>
      </c>
      <c r="O61" s="122">
        <v>39283.74099429749</v>
      </c>
      <c r="P61" s="123">
        <v>0.594901182640526</v>
      </c>
      <c r="Q61" s="160">
        <v>8</v>
      </c>
      <c r="R61" s="130">
        <v>247.78386313911562</v>
      </c>
      <c r="S61" s="116">
        <v>10.324327630796484</v>
      </c>
      <c r="T61" s="160" t="s">
        <v>168</v>
      </c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</row>
    <row r="62" spans="1:45" s="161" customFormat="1" ht="12">
      <c r="A62" s="156">
        <v>43</v>
      </c>
      <c r="B62" s="157">
        <v>31</v>
      </c>
      <c r="C62" s="158">
        <v>23.78</v>
      </c>
      <c r="D62" s="159" t="s">
        <v>32</v>
      </c>
      <c r="E62" s="157">
        <v>80</v>
      </c>
      <c r="F62" s="158">
        <v>44.58</v>
      </c>
      <c r="G62" s="159" t="s">
        <v>33</v>
      </c>
      <c r="H62" s="126">
        <v>6.459893690822548</v>
      </c>
      <c r="I62" s="126">
        <v>11.965876413300299</v>
      </c>
      <c r="J62" s="119">
        <v>3762.5142275352096</v>
      </c>
      <c r="K62" s="160">
        <v>0</v>
      </c>
      <c r="L62" s="160">
        <v>0</v>
      </c>
      <c r="M62" s="158">
        <v>1.2</v>
      </c>
      <c r="N62" s="122">
        <v>39283.77463957713</v>
      </c>
      <c r="O62" s="122">
        <v>39283.824639577135</v>
      </c>
      <c r="P62" s="123">
        <v>0.8074867113528185</v>
      </c>
      <c r="Q62" s="160">
        <v>8</v>
      </c>
      <c r="R62" s="130">
        <v>249.79134985046844</v>
      </c>
      <c r="S62" s="116">
        <v>10.407972910436184</v>
      </c>
      <c r="T62" s="160" t="s">
        <v>168</v>
      </c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</row>
    <row r="63" spans="1:45" s="161" customFormat="1" ht="12">
      <c r="A63" s="156">
        <v>44</v>
      </c>
      <c r="B63" s="157">
        <v>31</v>
      </c>
      <c r="C63" s="158">
        <v>19.46</v>
      </c>
      <c r="D63" s="159" t="s">
        <v>32</v>
      </c>
      <c r="E63" s="157">
        <v>80</v>
      </c>
      <c r="F63" s="158">
        <v>33.865</v>
      </c>
      <c r="G63" s="159" t="s">
        <v>33</v>
      </c>
      <c r="H63" s="126">
        <v>10.118232443271527</v>
      </c>
      <c r="I63" s="126">
        <v>18.742339229086625</v>
      </c>
      <c r="J63" s="119">
        <v>3781.256566764296</v>
      </c>
      <c r="K63" s="160">
        <v>24</v>
      </c>
      <c r="L63" s="160">
        <v>0.04</v>
      </c>
      <c r="M63" s="158">
        <v>0.75</v>
      </c>
      <c r="N63" s="122">
        <v>39283.87733870444</v>
      </c>
      <c r="O63" s="122">
        <v>39283.910255371105</v>
      </c>
      <c r="P63" s="123">
        <v>1.2647790554089409</v>
      </c>
      <c r="Q63" s="160">
        <v>8</v>
      </c>
      <c r="R63" s="130">
        <v>251.84612890587738</v>
      </c>
      <c r="S63" s="116">
        <v>10.493588704411557</v>
      </c>
      <c r="T63" s="160" t="s">
        <v>168</v>
      </c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</row>
    <row r="64" spans="1:45" s="161" customFormat="1" ht="12">
      <c r="A64" s="156">
        <v>45</v>
      </c>
      <c r="B64" s="157">
        <v>31</v>
      </c>
      <c r="C64" s="158">
        <v>15.15</v>
      </c>
      <c r="D64" s="159" t="s">
        <v>32</v>
      </c>
      <c r="E64" s="157">
        <v>80</v>
      </c>
      <c r="F64" s="158">
        <v>23.153</v>
      </c>
      <c r="G64" s="159" t="s">
        <v>33</v>
      </c>
      <c r="H64" s="126">
        <v>10.117973289849425</v>
      </c>
      <c r="I64" s="126">
        <v>18.74185919056442</v>
      </c>
      <c r="J64" s="119">
        <v>3799.9984259548605</v>
      </c>
      <c r="K64" s="160">
        <v>32</v>
      </c>
      <c r="L64" s="160">
        <v>0.05333333333333334</v>
      </c>
      <c r="M64" s="158">
        <v>0.75</v>
      </c>
      <c r="N64" s="122">
        <v>39283.96295314866</v>
      </c>
      <c r="O64" s="122">
        <v>39283.99642537088</v>
      </c>
      <c r="P64" s="123">
        <v>1.2647466612311782</v>
      </c>
      <c r="Q64" s="160">
        <v>8</v>
      </c>
      <c r="R64" s="130">
        <v>253.9142089004419</v>
      </c>
      <c r="S64" s="116">
        <v>10.57975870418508</v>
      </c>
      <c r="T64" s="160" t="s">
        <v>168</v>
      </c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</row>
    <row r="65" spans="1:45" s="161" customFormat="1" ht="12">
      <c r="A65" s="156">
        <v>46</v>
      </c>
      <c r="B65" s="157">
        <v>31</v>
      </c>
      <c r="C65" s="158">
        <v>11.7</v>
      </c>
      <c r="D65" s="159" t="s">
        <v>32</v>
      </c>
      <c r="E65" s="157">
        <v>80</v>
      </c>
      <c r="F65" s="158">
        <v>14.583</v>
      </c>
      <c r="G65" s="159" t="s">
        <v>33</v>
      </c>
      <c r="H65" s="126">
        <v>8.100081052184551</v>
      </c>
      <c r="I65" s="126">
        <v>15.004050135663185</v>
      </c>
      <c r="J65" s="119">
        <v>3815.0024760905235</v>
      </c>
      <c r="K65" s="160">
        <v>38</v>
      </c>
      <c r="L65" s="160">
        <v>0.06333333333333332</v>
      </c>
      <c r="M65" s="158">
        <v>1</v>
      </c>
      <c r="N65" s="122">
        <v>39284.03861329303</v>
      </c>
      <c r="O65" s="122">
        <v>39284.08291884859</v>
      </c>
      <c r="P65" s="123">
        <v>1.012510131523069</v>
      </c>
      <c r="Q65" s="160">
        <v>8</v>
      </c>
      <c r="R65" s="130">
        <v>255.9900523652983</v>
      </c>
      <c r="S65" s="116">
        <v>10.66625218188743</v>
      </c>
      <c r="T65" s="160" t="s">
        <v>169</v>
      </c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</row>
    <row r="66" spans="1:45" s="161" customFormat="1" ht="12">
      <c r="A66" s="156">
        <v>47</v>
      </c>
      <c r="B66" s="157">
        <v>31</v>
      </c>
      <c r="C66" s="158">
        <v>4.8</v>
      </c>
      <c r="D66" s="159" t="s">
        <v>32</v>
      </c>
      <c r="E66" s="157">
        <v>79</v>
      </c>
      <c r="F66" s="158">
        <v>57.444</v>
      </c>
      <c r="G66" s="159" t="s">
        <v>33</v>
      </c>
      <c r="H66" s="126">
        <v>16.211468537196307</v>
      </c>
      <c r="I66" s="126">
        <v>30.029043553733292</v>
      </c>
      <c r="J66" s="119">
        <v>3845.0315196442566</v>
      </c>
      <c r="K66" s="160">
        <v>53</v>
      </c>
      <c r="L66" s="160">
        <v>0.08833333333333333</v>
      </c>
      <c r="M66" s="158">
        <v>0.15</v>
      </c>
      <c r="N66" s="122">
        <v>39284.16735358055</v>
      </c>
      <c r="O66" s="122">
        <v>39284.17728413611</v>
      </c>
      <c r="P66" s="123">
        <v>2.0264335671495384</v>
      </c>
      <c r="Q66" s="160">
        <v>8</v>
      </c>
      <c r="R66" s="130">
        <v>258.2548192657811</v>
      </c>
      <c r="S66" s="116">
        <v>10.760617469407547</v>
      </c>
      <c r="T66" s="160" t="s">
        <v>169</v>
      </c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</row>
    <row r="67" spans="1:45" s="161" customFormat="1" ht="12">
      <c r="A67" s="156">
        <v>48</v>
      </c>
      <c r="B67" s="157">
        <v>30</v>
      </c>
      <c r="C67" s="158">
        <v>57.9</v>
      </c>
      <c r="D67" s="159" t="s">
        <v>32</v>
      </c>
      <c r="E67" s="157">
        <v>79</v>
      </c>
      <c r="F67" s="158">
        <v>40.305</v>
      </c>
      <c r="G67" s="159" t="s">
        <v>33</v>
      </c>
      <c r="H67" s="126">
        <v>16.227540044669748</v>
      </c>
      <c r="I67" s="126">
        <v>30.05881334274326</v>
      </c>
      <c r="J67" s="119">
        <v>3875.090332987</v>
      </c>
      <c r="K67" s="160">
        <v>512</v>
      </c>
      <c r="L67" s="160">
        <v>0.5973333333333334</v>
      </c>
      <c r="M67" s="158">
        <v>0.15</v>
      </c>
      <c r="N67" s="122">
        <v>39284.26180257384</v>
      </c>
      <c r="O67" s="122">
        <v>39284.29294146273</v>
      </c>
      <c r="P67" s="123">
        <v>2.0284425055837185</v>
      </c>
      <c r="Q67" s="160">
        <v>8</v>
      </c>
      <c r="R67" s="130">
        <v>261.03059510469814</v>
      </c>
      <c r="S67" s="116">
        <v>10.876274796029088</v>
      </c>
      <c r="T67" s="160" t="s">
        <v>169</v>
      </c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</row>
    <row r="68" spans="1:45" s="161" customFormat="1" ht="12">
      <c r="A68" s="156">
        <v>49</v>
      </c>
      <c r="B68" s="157">
        <v>30</v>
      </c>
      <c r="C68" s="158">
        <v>52.02</v>
      </c>
      <c r="D68" s="159" t="s">
        <v>32</v>
      </c>
      <c r="E68" s="157">
        <v>79</v>
      </c>
      <c r="F68" s="158">
        <v>25.8</v>
      </c>
      <c r="G68" s="159" t="s">
        <v>33</v>
      </c>
      <c r="H68" s="126">
        <v>13.763398968798239</v>
      </c>
      <c r="I68" s="126">
        <v>25.494402689870604</v>
      </c>
      <c r="J68" s="119">
        <v>3900.5847356768704</v>
      </c>
      <c r="K68" s="160">
        <v>740</v>
      </c>
      <c r="L68" s="160">
        <v>0.8633333333333334</v>
      </c>
      <c r="M68" s="158">
        <v>0.15</v>
      </c>
      <c r="N68" s="122">
        <v>39284.36462583236</v>
      </c>
      <c r="O68" s="122">
        <v>39284.406848054576</v>
      </c>
      <c r="P68" s="123">
        <v>1.7204248710997798</v>
      </c>
      <c r="Q68" s="160">
        <v>8</v>
      </c>
      <c r="R68" s="130">
        <v>263.76435330913125</v>
      </c>
      <c r="S68" s="116">
        <v>10.990181387880469</v>
      </c>
      <c r="T68" s="160" t="s">
        <v>169</v>
      </c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</row>
    <row r="69" spans="1:45" s="161" customFormat="1" ht="12">
      <c r="A69" s="156">
        <v>50</v>
      </c>
      <c r="B69" s="157">
        <v>30</v>
      </c>
      <c r="C69" s="158">
        <v>41.52000000000022</v>
      </c>
      <c r="D69" s="159" t="s">
        <v>32</v>
      </c>
      <c r="E69" s="157">
        <v>79</v>
      </c>
      <c r="F69" s="158">
        <v>0</v>
      </c>
      <c r="G69" s="159" t="s">
        <v>33</v>
      </c>
      <c r="H69" s="126">
        <v>24.527032317149107</v>
      </c>
      <c r="I69" s="126">
        <v>45.432239528799194</v>
      </c>
      <c r="J69" s="119">
        <v>3946.0169752056695</v>
      </c>
      <c r="K69" s="160">
        <v>786</v>
      </c>
      <c r="L69" s="160">
        <v>0.9169999999999999</v>
      </c>
      <c r="M69" s="158">
        <v>0.15</v>
      </c>
      <c r="N69" s="122">
        <v>39284.52039913012</v>
      </c>
      <c r="O69" s="122">
        <v>39284.56485746345</v>
      </c>
      <c r="P69" s="123">
        <v>2.7252258130165674</v>
      </c>
      <c r="Q69" s="160">
        <v>9</v>
      </c>
      <c r="R69" s="130">
        <v>267.55657912214775</v>
      </c>
      <c r="S69" s="116">
        <v>11.148190796756156</v>
      </c>
      <c r="T69" s="160" t="s">
        <v>169</v>
      </c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</row>
    <row r="70" spans="1:45" s="161" customFormat="1" ht="12">
      <c r="A70" s="156">
        <v>51</v>
      </c>
      <c r="B70" s="157">
        <v>30</v>
      </c>
      <c r="C70" s="158">
        <v>29.44500000000012</v>
      </c>
      <c r="D70" s="159" t="s">
        <v>32</v>
      </c>
      <c r="E70" s="157">
        <v>78</v>
      </c>
      <c r="F70" s="158">
        <v>30</v>
      </c>
      <c r="G70" s="159" t="s">
        <v>33</v>
      </c>
      <c r="H70" s="126">
        <v>28.508086411281617</v>
      </c>
      <c r="I70" s="126">
        <v>52.80647872916398</v>
      </c>
      <c r="J70" s="119">
        <v>3998.8234539348337</v>
      </c>
      <c r="K70" s="160">
        <v>823</v>
      </c>
      <c r="L70" s="160">
        <v>0.9601666666666666</v>
      </c>
      <c r="M70" s="158">
        <v>0.15</v>
      </c>
      <c r="N70" s="122">
        <v>39284.69683934498</v>
      </c>
      <c r="O70" s="122">
        <v>39284.74309628942</v>
      </c>
      <c r="P70" s="123">
        <v>3.1675651568090686</v>
      </c>
      <c r="Q70" s="160">
        <v>9</v>
      </c>
      <c r="R70" s="130">
        <v>271.8343109456235</v>
      </c>
      <c r="S70" s="116">
        <v>11.326429622734311</v>
      </c>
      <c r="T70" s="160" t="s">
        <v>169</v>
      </c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</row>
    <row r="71" spans="1:45" s="161" customFormat="1" ht="12">
      <c r="A71" s="156">
        <v>52</v>
      </c>
      <c r="B71" s="157">
        <v>30</v>
      </c>
      <c r="C71" s="158">
        <v>17.370000000000232</v>
      </c>
      <c r="D71" s="159" t="s">
        <v>32</v>
      </c>
      <c r="E71" s="157">
        <v>78</v>
      </c>
      <c r="F71" s="158">
        <v>0</v>
      </c>
      <c r="G71" s="159" t="s">
        <v>33</v>
      </c>
      <c r="H71" s="126">
        <v>28.55652948646471</v>
      </c>
      <c r="I71" s="126">
        <v>52.8962114520948</v>
      </c>
      <c r="J71" s="119">
        <v>4051.7196653869287</v>
      </c>
      <c r="K71" s="160">
        <v>785</v>
      </c>
      <c r="L71" s="160">
        <v>0.9158333333333333</v>
      </c>
      <c r="M71" s="158">
        <v>0.15</v>
      </c>
      <c r="N71" s="122">
        <v>39284.87530244445</v>
      </c>
      <c r="O71" s="122">
        <v>39284.91971216667</v>
      </c>
      <c r="P71" s="123">
        <v>3.1729477207183012</v>
      </c>
      <c r="Q71" s="160">
        <v>9</v>
      </c>
      <c r="R71" s="130">
        <v>276.0730919996751</v>
      </c>
      <c r="S71" s="116">
        <v>11.503045499986463</v>
      </c>
      <c r="T71" s="160" t="s">
        <v>169</v>
      </c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</row>
    <row r="72" spans="1:45" s="5" customFormat="1" ht="12">
      <c r="A72" s="132" t="s">
        <v>37</v>
      </c>
      <c r="B72" s="125">
        <v>31</v>
      </c>
      <c r="C72" s="134">
        <v>49.7</v>
      </c>
      <c r="D72" s="126" t="s">
        <v>32</v>
      </c>
      <c r="E72" s="125">
        <v>79</v>
      </c>
      <c r="F72" s="134">
        <v>38.3</v>
      </c>
      <c r="G72" s="126" t="s">
        <v>33</v>
      </c>
      <c r="H72" s="126">
        <v>124.9588061770184</v>
      </c>
      <c r="I72" s="126">
        <v>231.46536197523042</v>
      </c>
      <c r="J72" s="119">
        <v>4283.185027362159</v>
      </c>
      <c r="K72" s="116">
        <v>740</v>
      </c>
      <c r="L72" s="116">
        <v>0.8633333333333334</v>
      </c>
      <c r="M72" s="134">
        <v>0.15</v>
      </c>
      <c r="N72" s="122">
        <v>39285.35359691034</v>
      </c>
      <c r="O72" s="122">
        <v>39285.39581913256</v>
      </c>
      <c r="P72" s="123">
        <v>10.413233848084866</v>
      </c>
      <c r="Q72" s="116">
        <v>12</v>
      </c>
      <c r="R72" s="130">
        <v>287.4996591810933</v>
      </c>
      <c r="S72" s="116">
        <v>11.979152465878888</v>
      </c>
      <c r="T72" s="116" t="s">
        <v>170</v>
      </c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</row>
    <row r="73" spans="1:45" s="5" customFormat="1" ht="12">
      <c r="A73" s="132" t="s">
        <v>37</v>
      </c>
      <c r="B73" s="125">
        <v>35</v>
      </c>
      <c r="C73" s="134">
        <v>11</v>
      </c>
      <c r="D73" s="126" t="s">
        <v>32</v>
      </c>
      <c r="E73" s="125">
        <v>75</v>
      </c>
      <c r="F73" s="134">
        <v>8.4</v>
      </c>
      <c r="G73" s="126" t="s">
        <v>33</v>
      </c>
      <c r="H73" s="126">
        <v>301.87419601128477</v>
      </c>
      <c r="I73" s="126">
        <v>559.1716357449033</v>
      </c>
      <c r="J73" s="119">
        <v>4842.356663107063</v>
      </c>
      <c r="K73" s="116">
        <v>740</v>
      </c>
      <c r="L73" s="116">
        <v>0.8633333333333334</v>
      </c>
      <c r="M73" s="134">
        <v>0.15</v>
      </c>
      <c r="N73" s="122">
        <v>39286.44399342426</v>
      </c>
      <c r="O73" s="122">
        <v>39286.48621564648</v>
      </c>
      <c r="P73" s="123">
        <v>25.1561830009404</v>
      </c>
      <c r="Q73" s="116">
        <v>12</v>
      </c>
      <c r="R73" s="130">
        <v>313.66917551536704</v>
      </c>
      <c r="S73" s="116">
        <v>13.06954897980696</v>
      </c>
      <c r="T73" s="116" t="s">
        <v>164</v>
      </c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</row>
    <row r="74" spans="1:45" s="129" customFormat="1" ht="12">
      <c r="A74" s="131">
        <v>53</v>
      </c>
      <c r="B74" s="127">
        <v>36</v>
      </c>
      <c r="C74" s="128">
        <v>0</v>
      </c>
      <c r="D74" s="136" t="s">
        <v>32</v>
      </c>
      <c r="E74" s="127">
        <v>75</v>
      </c>
      <c r="F74" s="128">
        <v>3</v>
      </c>
      <c r="G74" s="136" t="s">
        <v>33</v>
      </c>
      <c r="H74" s="126">
        <v>49.19635981479742</v>
      </c>
      <c r="I74" s="126">
        <v>91.12805716360975</v>
      </c>
      <c r="J74" s="119">
        <v>4933.484720270672</v>
      </c>
      <c r="K74" s="124">
        <v>30</v>
      </c>
      <c r="L74" s="124">
        <v>0.05</v>
      </c>
      <c r="M74" s="128">
        <v>0.15</v>
      </c>
      <c r="N74" s="122">
        <v>39286.65703634028</v>
      </c>
      <c r="O74" s="122">
        <v>39286.66536967361</v>
      </c>
      <c r="P74" s="123">
        <v>4.099696651233118</v>
      </c>
      <c r="Q74" s="124">
        <v>12</v>
      </c>
      <c r="R74" s="130">
        <v>317.96887216660014</v>
      </c>
      <c r="S74" s="116">
        <v>13.248703006941673</v>
      </c>
      <c r="T74" s="124" t="s">
        <v>164</v>
      </c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</row>
    <row r="75" spans="1:45" s="129" customFormat="1" ht="12">
      <c r="A75" s="131">
        <v>54</v>
      </c>
      <c r="B75" s="127">
        <v>35</v>
      </c>
      <c r="C75" s="128">
        <v>55</v>
      </c>
      <c r="D75" s="136" t="s">
        <v>32</v>
      </c>
      <c r="E75" s="127">
        <v>74</v>
      </c>
      <c r="F75" s="128">
        <v>51</v>
      </c>
      <c r="G75" s="136" t="s">
        <v>33</v>
      </c>
      <c r="H75" s="126">
        <v>10.924683908867825</v>
      </c>
      <c r="I75" s="126">
        <v>20.236156160526168</v>
      </c>
      <c r="J75" s="119">
        <v>4953.720876431198</v>
      </c>
      <c r="K75" s="124">
        <v>500</v>
      </c>
      <c r="L75" s="124">
        <v>0.5833333333333334</v>
      </c>
      <c r="M75" s="128">
        <v>0.65</v>
      </c>
      <c r="N75" s="122">
        <v>39286.72226906897</v>
      </c>
      <c r="O75" s="122">
        <v>39286.773657957856</v>
      </c>
      <c r="P75" s="123">
        <v>1.3655854886084782</v>
      </c>
      <c r="Q75" s="124">
        <v>8</v>
      </c>
      <c r="R75" s="130">
        <v>320.5677909885419</v>
      </c>
      <c r="S75" s="116">
        <v>13.356991291189246</v>
      </c>
      <c r="T75" s="124" t="s">
        <v>164</v>
      </c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</row>
    <row r="76" spans="1:45" s="129" customFormat="1" ht="12">
      <c r="A76" s="131">
        <v>55</v>
      </c>
      <c r="B76" s="127">
        <v>35</v>
      </c>
      <c r="C76" s="128">
        <v>50</v>
      </c>
      <c r="D76" s="136" t="s">
        <v>32</v>
      </c>
      <c r="E76" s="127">
        <v>74</v>
      </c>
      <c r="F76" s="128">
        <v>39</v>
      </c>
      <c r="G76" s="136" t="s">
        <v>33</v>
      </c>
      <c r="H76" s="126">
        <v>10.93378791979623</v>
      </c>
      <c r="I76" s="126">
        <v>20.253019823435885</v>
      </c>
      <c r="J76" s="119">
        <v>4973.973896254634</v>
      </c>
      <c r="K76" s="124">
        <v>1000</v>
      </c>
      <c r="L76" s="124">
        <v>1.1666666666666667</v>
      </c>
      <c r="M76" s="128">
        <v>0.65</v>
      </c>
      <c r="N76" s="122">
        <v>39286.83060476994</v>
      </c>
      <c r="O76" s="122">
        <v>39286.90629921438</v>
      </c>
      <c r="P76" s="123">
        <v>1.3667234899745289</v>
      </c>
      <c r="Q76" s="124">
        <v>8</v>
      </c>
      <c r="R76" s="130">
        <v>323.75118114518307</v>
      </c>
      <c r="S76" s="116">
        <v>13.489632547715962</v>
      </c>
      <c r="T76" s="124" t="s">
        <v>164</v>
      </c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</row>
    <row r="77" spans="1:45" s="129" customFormat="1" ht="12">
      <c r="A77" s="131">
        <v>56</v>
      </c>
      <c r="B77" s="127">
        <v>35</v>
      </c>
      <c r="C77" s="128">
        <v>45</v>
      </c>
      <c r="D77" s="136" t="s">
        <v>32</v>
      </c>
      <c r="E77" s="127">
        <v>74</v>
      </c>
      <c r="F77" s="128">
        <v>27</v>
      </c>
      <c r="G77" s="136" t="s">
        <v>33</v>
      </c>
      <c r="H77" s="126">
        <v>10.942875639117222</v>
      </c>
      <c r="I77" s="126">
        <v>20.269853308858135</v>
      </c>
      <c r="J77" s="119">
        <v>4994.243749563492</v>
      </c>
      <c r="K77" s="124">
        <v>1900</v>
      </c>
      <c r="L77" s="124">
        <v>2.216666666666667</v>
      </c>
      <c r="M77" s="128">
        <v>0.65</v>
      </c>
      <c r="N77" s="122">
        <v>39286.963293358334</v>
      </c>
      <c r="O77" s="122">
        <v>39287.082737802775</v>
      </c>
      <c r="P77" s="123">
        <v>1.3678594548896528</v>
      </c>
      <c r="Q77" s="124">
        <v>8</v>
      </c>
      <c r="R77" s="130">
        <v>327.9857072667393</v>
      </c>
      <c r="S77" s="116">
        <v>13.66607113611414</v>
      </c>
      <c r="T77" s="124" t="s">
        <v>165</v>
      </c>
      <c r="V77" s="124" t="s">
        <v>1</v>
      </c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</row>
    <row r="78" spans="1:45" s="129" customFormat="1" ht="12">
      <c r="A78" s="131">
        <v>57</v>
      </c>
      <c r="B78" s="127">
        <v>35</v>
      </c>
      <c r="C78" s="128">
        <v>38.5</v>
      </c>
      <c r="D78" s="136" t="s">
        <v>32</v>
      </c>
      <c r="E78" s="127">
        <v>74</v>
      </c>
      <c r="F78" s="128">
        <v>11</v>
      </c>
      <c r="G78" s="136" t="s">
        <v>33</v>
      </c>
      <c r="H78" s="126">
        <v>14.529081307974195</v>
      </c>
      <c r="I78" s="126">
        <v>26.912701609470865</v>
      </c>
      <c r="J78" s="119">
        <v>5021.156451172963</v>
      </c>
      <c r="K78" s="124">
        <v>2600</v>
      </c>
      <c r="L78" s="124">
        <v>3.033333333333333</v>
      </c>
      <c r="M78" s="128">
        <v>0.65</v>
      </c>
      <c r="N78" s="122">
        <v>39287.158410101256</v>
      </c>
      <c r="O78" s="122">
        <v>39287.311882323476</v>
      </c>
      <c r="P78" s="123">
        <v>1.8161351634967744</v>
      </c>
      <c r="Q78" s="124">
        <v>8</v>
      </c>
      <c r="R78" s="130">
        <v>333.48517576356943</v>
      </c>
      <c r="S78" s="116">
        <v>13.895215656815394</v>
      </c>
      <c r="T78" s="124" t="s">
        <v>165</v>
      </c>
      <c r="V78" s="124" t="s">
        <v>2</v>
      </c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</row>
    <row r="79" spans="1:45" s="129" customFormat="1" ht="12">
      <c r="A79" s="131">
        <v>58</v>
      </c>
      <c r="B79" s="127">
        <v>35</v>
      </c>
      <c r="C79" s="128">
        <v>31.6</v>
      </c>
      <c r="D79" s="136" t="s">
        <v>32</v>
      </c>
      <c r="E79" s="127">
        <v>73</v>
      </c>
      <c r="F79" s="128">
        <v>59</v>
      </c>
      <c r="G79" s="136" t="s">
        <v>33</v>
      </c>
      <c r="H79" s="126">
        <v>11.952015862493885</v>
      </c>
      <c r="I79" s="126">
        <v>22.139117382626175</v>
      </c>
      <c r="J79" s="119">
        <v>5043.295568555589</v>
      </c>
      <c r="K79" s="124">
        <v>3000</v>
      </c>
      <c r="L79" s="124">
        <v>3.5</v>
      </c>
      <c r="M79" s="128">
        <v>0.65</v>
      </c>
      <c r="N79" s="122">
        <v>39287.37413240609</v>
      </c>
      <c r="O79" s="122">
        <v>39287.54704907276</v>
      </c>
      <c r="P79" s="123">
        <v>1.4940019828117357</v>
      </c>
      <c r="Q79" s="124">
        <v>8</v>
      </c>
      <c r="R79" s="130">
        <v>339.1291777463811</v>
      </c>
      <c r="S79" s="116">
        <v>14.130382406099214</v>
      </c>
      <c r="T79" s="124" t="s">
        <v>165</v>
      </c>
      <c r="V79" s="124" t="s">
        <v>3</v>
      </c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</row>
    <row r="80" spans="1:45" s="129" customFormat="1" ht="12">
      <c r="A80" s="131">
        <v>59</v>
      </c>
      <c r="B80" s="127">
        <v>35</v>
      </c>
      <c r="C80" s="128">
        <v>20</v>
      </c>
      <c r="D80" s="136" t="s">
        <v>32</v>
      </c>
      <c r="E80" s="127">
        <v>73</v>
      </c>
      <c r="F80" s="128">
        <v>49</v>
      </c>
      <c r="G80" s="136" t="s">
        <v>33</v>
      </c>
      <c r="H80" s="126">
        <v>14.175813962793944</v>
      </c>
      <c r="I80" s="126">
        <v>26.258332730415315</v>
      </c>
      <c r="J80" s="119">
        <v>5069.5539012860045</v>
      </c>
      <c r="K80" s="124">
        <v>3300</v>
      </c>
      <c r="L80" s="124">
        <v>3.85</v>
      </c>
      <c r="M80" s="128">
        <v>0.65</v>
      </c>
      <c r="N80" s="122">
        <v>39287.62088143715</v>
      </c>
      <c r="O80" s="122">
        <v>39287.80838143715</v>
      </c>
      <c r="P80" s="123">
        <v>1.771976745349243</v>
      </c>
      <c r="Q80" s="124">
        <v>8</v>
      </c>
      <c r="R80" s="130">
        <v>345.4011544917304</v>
      </c>
      <c r="S80" s="116">
        <v>14.391714770488766</v>
      </c>
      <c r="T80" s="124" t="s">
        <v>165</v>
      </c>
      <c r="V80" s="124" t="s">
        <v>4</v>
      </c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</row>
    <row r="81" spans="1:45" s="129" customFormat="1" ht="12">
      <c r="A81" s="131">
        <v>60</v>
      </c>
      <c r="B81" s="127">
        <v>35</v>
      </c>
      <c r="C81" s="128">
        <v>13</v>
      </c>
      <c r="D81" s="136" t="s">
        <v>32</v>
      </c>
      <c r="E81" s="127">
        <v>73</v>
      </c>
      <c r="F81" s="128">
        <v>41</v>
      </c>
      <c r="G81" s="136" t="s">
        <v>33</v>
      </c>
      <c r="H81" s="126">
        <v>9.57368521682941</v>
      </c>
      <c r="I81" s="126">
        <v>17.73365624997368</v>
      </c>
      <c r="J81" s="119">
        <v>5087.2875575359785</v>
      </c>
      <c r="K81" s="124">
        <v>3600</v>
      </c>
      <c r="L81" s="124">
        <v>4.2</v>
      </c>
      <c r="M81" s="128">
        <v>0.65</v>
      </c>
      <c r="N81" s="122">
        <v>39287.85824438099</v>
      </c>
      <c r="O81" s="122">
        <v>39288.06032771432</v>
      </c>
      <c r="P81" s="123">
        <v>1.1967106521036763</v>
      </c>
      <c r="Q81" s="124">
        <v>8</v>
      </c>
      <c r="R81" s="130">
        <v>351.447865143834</v>
      </c>
      <c r="S81" s="116">
        <v>14.64366104765975</v>
      </c>
      <c r="T81" s="124" t="s">
        <v>166</v>
      </c>
      <c r="V81" s="124" t="s">
        <v>5</v>
      </c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</row>
    <row r="82" spans="1:45" s="129" customFormat="1" ht="12">
      <c r="A82" s="131">
        <v>61</v>
      </c>
      <c r="B82" s="127">
        <v>35</v>
      </c>
      <c r="C82" s="128">
        <v>2</v>
      </c>
      <c r="D82" s="136" t="s">
        <v>32</v>
      </c>
      <c r="E82" s="127">
        <v>73</v>
      </c>
      <c r="F82" s="128">
        <v>24</v>
      </c>
      <c r="G82" s="136" t="s">
        <v>33</v>
      </c>
      <c r="H82" s="126">
        <v>17.729309786209768</v>
      </c>
      <c r="I82" s="126">
        <v>32.84059149398923</v>
      </c>
      <c r="J82" s="119">
        <v>5120.128149029968</v>
      </c>
      <c r="K82" s="124">
        <v>4000</v>
      </c>
      <c r="L82" s="124">
        <v>4.666666666666667</v>
      </c>
      <c r="M82" s="128">
        <v>0.15</v>
      </c>
      <c r="N82" s="122">
        <v>39288.15266786945</v>
      </c>
      <c r="O82" s="122">
        <v>39288.353362313894</v>
      </c>
      <c r="P82" s="123">
        <v>2.216163723276221</v>
      </c>
      <c r="Q82" s="124">
        <v>8</v>
      </c>
      <c r="R82" s="130">
        <v>358.4806955337769</v>
      </c>
      <c r="S82" s="116">
        <v>14.936695647240704</v>
      </c>
      <c r="T82" s="124" t="s">
        <v>166</v>
      </c>
      <c r="V82" s="124" t="s">
        <v>6</v>
      </c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</row>
    <row r="83" spans="1:45" s="129" customFormat="1" ht="12">
      <c r="A83" s="131">
        <v>62</v>
      </c>
      <c r="B83" s="127">
        <v>34</v>
      </c>
      <c r="C83" s="128">
        <v>52.5</v>
      </c>
      <c r="D83" s="136" t="s">
        <v>32</v>
      </c>
      <c r="E83" s="127">
        <v>73</v>
      </c>
      <c r="F83" s="128">
        <v>7</v>
      </c>
      <c r="G83" s="136" t="s">
        <v>33</v>
      </c>
      <c r="H83" s="126">
        <v>16.86382679574403</v>
      </c>
      <c r="I83" s="126">
        <v>31.237428501316522</v>
      </c>
      <c r="J83" s="119">
        <v>5151.3655775312845</v>
      </c>
      <c r="K83" s="124">
        <v>4300</v>
      </c>
      <c r="L83" s="124">
        <v>5.016666666666667</v>
      </c>
      <c r="M83" s="128">
        <v>0.15</v>
      </c>
      <c r="N83" s="122">
        <v>39288.44119474512</v>
      </c>
      <c r="O83" s="122">
        <v>39288.656472522904</v>
      </c>
      <c r="P83" s="123">
        <v>2.1079783494680036</v>
      </c>
      <c r="Q83" s="124">
        <v>8</v>
      </c>
      <c r="R83" s="130">
        <v>365.7553405499115</v>
      </c>
      <c r="S83" s="116">
        <v>15.239805856246313</v>
      </c>
      <c r="T83" s="124" t="s">
        <v>166</v>
      </c>
      <c r="V83" s="124" t="s">
        <v>7</v>
      </c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</row>
    <row r="84" spans="1:45" s="129" customFormat="1" ht="12">
      <c r="A84" s="131">
        <v>63</v>
      </c>
      <c r="B84" s="127">
        <v>34</v>
      </c>
      <c r="C84" s="128">
        <v>39</v>
      </c>
      <c r="D84" s="136" t="s">
        <v>32</v>
      </c>
      <c r="E84" s="127">
        <v>72</v>
      </c>
      <c r="F84" s="128">
        <v>52</v>
      </c>
      <c r="G84" s="136" t="s">
        <v>33</v>
      </c>
      <c r="H84" s="126">
        <v>18.278451585830073</v>
      </c>
      <c r="I84" s="126">
        <v>33.85778515415257</v>
      </c>
      <c r="J84" s="119">
        <v>5185.223362685437</v>
      </c>
      <c r="K84" s="124">
        <v>4500</v>
      </c>
      <c r="L84" s="124">
        <v>5.25</v>
      </c>
      <c r="M84" s="128">
        <v>0.15</v>
      </c>
      <c r="N84" s="122">
        <v>39288.75167279158</v>
      </c>
      <c r="O84" s="122">
        <v>39288.97667279158</v>
      </c>
      <c r="P84" s="123">
        <v>2.284806448228759</v>
      </c>
      <c r="Q84" s="124">
        <v>8</v>
      </c>
      <c r="R84" s="130">
        <v>373.4401469981403</v>
      </c>
      <c r="S84" s="116">
        <v>15.560006124922511</v>
      </c>
      <c r="T84" s="124" t="s">
        <v>166</v>
      </c>
      <c r="V84" s="124" t="s">
        <v>0</v>
      </c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</row>
    <row r="85" spans="1:45" s="5" customFormat="1" ht="12">
      <c r="A85" s="132" t="s">
        <v>37</v>
      </c>
      <c r="B85" s="125">
        <v>36</v>
      </c>
      <c r="C85" s="134">
        <v>33.9</v>
      </c>
      <c r="D85" s="126" t="s">
        <v>32</v>
      </c>
      <c r="E85" s="125">
        <v>74</v>
      </c>
      <c r="F85" s="134">
        <v>48.7</v>
      </c>
      <c r="G85" s="126" t="s">
        <v>33</v>
      </c>
      <c r="H85" s="126">
        <v>149.00267535719476</v>
      </c>
      <c r="I85" s="126">
        <v>276.00262231997715</v>
      </c>
      <c r="J85" s="119">
        <v>5461.225985005414</v>
      </c>
      <c r="K85" s="116">
        <v>0</v>
      </c>
      <c r="L85" s="116">
        <v>0</v>
      </c>
      <c r="M85" s="134">
        <v>0</v>
      </c>
      <c r="N85" s="122">
        <v>39289.49404319212</v>
      </c>
      <c r="O85" s="122">
        <v>39289.49404319212</v>
      </c>
      <c r="P85" s="123">
        <v>12.416889613099563</v>
      </c>
      <c r="Q85" s="116">
        <v>12</v>
      </c>
      <c r="R85" s="130">
        <v>385.85703661123983</v>
      </c>
      <c r="S85" s="116">
        <v>16.077376525468328</v>
      </c>
      <c r="T85" s="116" t="s">
        <v>167</v>
      </c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</row>
    <row r="86" spans="1:45" s="5" customFormat="1" ht="12">
      <c r="A86" s="132" t="s">
        <v>37</v>
      </c>
      <c r="B86" s="125">
        <v>38</v>
      </c>
      <c r="C86" s="134">
        <v>16.9</v>
      </c>
      <c r="D86" s="126" t="s">
        <v>32</v>
      </c>
      <c r="E86" s="125">
        <v>74</v>
      </c>
      <c r="F86" s="134">
        <v>10</v>
      </c>
      <c r="G86" s="126" t="s">
        <v>33</v>
      </c>
      <c r="H86" s="126">
        <v>107.48672903613048</v>
      </c>
      <c r="I86" s="126">
        <v>199.10125108459235</v>
      </c>
      <c r="J86" s="119">
        <v>5660.327236090006</v>
      </c>
      <c r="K86" s="116">
        <v>0</v>
      </c>
      <c r="L86" s="116">
        <v>0</v>
      </c>
      <c r="M86" s="134">
        <v>0</v>
      </c>
      <c r="N86" s="122">
        <v>39289.86726100127</v>
      </c>
      <c r="O86" s="122">
        <v>39289.86726100127</v>
      </c>
      <c r="P86" s="123">
        <v>8.95722741967754</v>
      </c>
      <c r="Q86" s="116">
        <v>12</v>
      </c>
      <c r="R86" s="130">
        <v>394.8142640309174</v>
      </c>
      <c r="S86" s="116">
        <v>16.45059433462156</v>
      </c>
      <c r="T86" s="116" t="s">
        <v>167</v>
      </c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</row>
    <row r="87" spans="1:45" s="155" customFormat="1" ht="12">
      <c r="A87" s="150">
        <v>64</v>
      </c>
      <c r="B87" s="151">
        <v>39</v>
      </c>
      <c r="C87" s="152">
        <v>27.5</v>
      </c>
      <c r="D87" s="153" t="s">
        <v>32</v>
      </c>
      <c r="E87" s="151">
        <v>74</v>
      </c>
      <c r="F87" s="152">
        <v>16.125</v>
      </c>
      <c r="G87" s="153" t="s">
        <v>33</v>
      </c>
      <c r="H87" s="126">
        <v>70.76085528896456</v>
      </c>
      <c r="I87" s="126">
        <v>131.07269094692535</v>
      </c>
      <c r="J87" s="119">
        <v>5791.399927036931</v>
      </c>
      <c r="K87" s="154">
        <v>30</v>
      </c>
      <c r="L87" s="154">
        <v>0.05</v>
      </c>
      <c r="M87" s="152">
        <v>0.15</v>
      </c>
      <c r="N87" s="122">
        <v>39290.11295841547</v>
      </c>
      <c r="O87" s="122">
        <v>39290.1212917488</v>
      </c>
      <c r="P87" s="123">
        <v>5.896737940747047</v>
      </c>
      <c r="Q87" s="154">
        <v>12</v>
      </c>
      <c r="R87" s="130">
        <v>400.91100197166446</v>
      </c>
      <c r="S87" s="116">
        <v>16.704625082152685</v>
      </c>
      <c r="T87" s="154" t="s">
        <v>168</v>
      </c>
      <c r="V87" s="154" t="s">
        <v>8</v>
      </c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4"/>
      <c r="AS87" s="154"/>
    </row>
    <row r="88" spans="1:45" s="155" customFormat="1" ht="12">
      <c r="A88" s="150">
        <v>65</v>
      </c>
      <c r="B88" s="151">
        <v>39</v>
      </c>
      <c r="C88" s="152">
        <v>20.35</v>
      </c>
      <c r="D88" s="153" t="s">
        <v>32</v>
      </c>
      <c r="E88" s="151">
        <v>74</v>
      </c>
      <c r="F88" s="152">
        <v>5.5</v>
      </c>
      <c r="G88" s="153" t="s">
        <v>33</v>
      </c>
      <c r="H88" s="126">
        <v>10.887320699979348</v>
      </c>
      <c r="I88" s="126">
        <v>20.166947043261747</v>
      </c>
      <c r="J88" s="119">
        <v>5811.566874080193</v>
      </c>
      <c r="K88" s="154">
        <v>80</v>
      </c>
      <c r="L88" s="154">
        <v>0.13333333333333333</v>
      </c>
      <c r="M88" s="152">
        <v>0.65</v>
      </c>
      <c r="N88" s="122">
        <v>39290.17799654412</v>
      </c>
      <c r="O88" s="122">
        <v>39290.210635433</v>
      </c>
      <c r="P88" s="123">
        <v>1.3609150874974185</v>
      </c>
      <c r="Q88" s="154">
        <v>8</v>
      </c>
      <c r="R88" s="130">
        <v>403.05525039249517</v>
      </c>
      <c r="S88" s="116">
        <v>16.793968766353967</v>
      </c>
      <c r="T88" s="154" t="s">
        <v>168</v>
      </c>
      <c r="V88" s="154" t="s">
        <v>9</v>
      </c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</row>
    <row r="89" spans="1:45" s="155" customFormat="1" ht="12">
      <c r="A89" s="150">
        <v>66</v>
      </c>
      <c r="B89" s="151">
        <v>39</v>
      </c>
      <c r="C89" s="152">
        <v>13</v>
      </c>
      <c r="D89" s="153" t="s">
        <v>32</v>
      </c>
      <c r="E89" s="151">
        <v>73</v>
      </c>
      <c r="F89" s="152">
        <v>54.8</v>
      </c>
      <c r="G89" s="153" t="s">
        <v>33</v>
      </c>
      <c r="H89" s="126">
        <v>11.073642005074</v>
      </c>
      <c r="I89" s="126">
        <v>20.51207620739874</v>
      </c>
      <c r="J89" s="119">
        <v>5832.078950287591</v>
      </c>
      <c r="K89" s="154">
        <v>100</v>
      </c>
      <c r="L89" s="154">
        <v>0.16666666666666666</v>
      </c>
      <c r="M89" s="152">
        <v>0.65</v>
      </c>
      <c r="N89" s="122">
        <v>39290.26831065178</v>
      </c>
      <c r="O89" s="122">
        <v>39290.30233842956</v>
      </c>
      <c r="P89" s="123">
        <v>1.38420525063425</v>
      </c>
      <c r="Q89" s="154">
        <v>8</v>
      </c>
      <c r="R89" s="130">
        <v>405.25612230979607</v>
      </c>
      <c r="S89" s="116">
        <v>16.88567176290817</v>
      </c>
      <c r="T89" s="154" t="s">
        <v>168</v>
      </c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</row>
    <row r="90" spans="1:45" s="155" customFormat="1" ht="12">
      <c r="A90" s="150">
        <v>67</v>
      </c>
      <c r="B90" s="151">
        <v>39</v>
      </c>
      <c r="C90" s="152">
        <v>5.8</v>
      </c>
      <c r="D90" s="153" t="s">
        <v>32</v>
      </c>
      <c r="E90" s="151">
        <v>73</v>
      </c>
      <c r="F90" s="152">
        <v>44.1</v>
      </c>
      <c r="G90" s="153" t="s">
        <v>33</v>
      </c>
      <c r="H90" s="126">
        <v>10.985463863210457</v>
      </c>
      <c r="I90" s="126">
        <v>20.3487408959535</v>
      </c>
      <c r="J90" s="119">
        <v>5852.427691183545</v>
      </c>
      <c r="K90" s="154">
        <v>150</v>
      </c>
      <c r="L90" s="154">
        <v>0.25</v>
      </c>
      <c r="M90" s="152">
        <v>0.65</v>
      </c>
      <c r="N90" s="122">
        <v>39290.35955438718</v>
      </c>
      <c r="O90" s="122">
        <v>39290.39705438718</v>
      </c>
      <c r="P90" s="123">
        <v>1.3731829829013071</v>
      </c>
      <c r="Q90" s="154">
        <v>8</v>
      </c>
      <c r="R90" s="130">
        <v>407.52930529269736</v>
      </c>
      <c r="S90" s="116">
        <v>16.980387720529055</v>
      </c>
      <c r="T90" s="154" t="s">
        <v>168</v>
      </c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  <c r="AL90" s="154"/>
      <c r="AM90" s="154"/>
      <c r="AN90" s="154"/>
      <c r="AO90" s="154"/>
      <c r="AP90" s="154"/>
      <c r="AQ90" s="154"/>
      <c r="AR90" s="154"/>
      <c r="AS90" s="154"/>
    </row>
    <row r="91" spans="1:45" s="155" customFormat="1" ht="12">
      <c r="A91" s="150">
        <v>68</v>
      </c>
      <c r="B91" s="151">
        <v>38</v>
      </c>
      <c r="C91" s="152">
        <v>58.6</v>
      </c>
      <c r="D91" s="153" t="s">
        <v>32</v>
      </c>
      <c r="E91" s="151">
        <v>73</v>
      </c>
      <c r="F91" s="152">
        <v>33.4</v>
      </c>
      <c r="G91" s="153" t="s">
        <v>33</v>
      </c>
      <c r="H91" s="126">
        <v>10.996141622634099</v>
      </c>
      <c r="I91" s="126">
        <v>20.36851966565923</v>
      </c>
      <c r="J91" s="119">
        <v>5872.796210849204</v>
      </c>
      <c r="K91" s="154">
        <v>200</v>
      </c>
      <c r="L91" s="154">
        <v>0.23333333333333334</v>
      </c>
      <c r="M91" s="152">
        <v>0.65</v>
      </c>
      <c r="N91" s="122">
        <v>39290.454325958126</v>
      </c>
      <c r="O91" s="122">
        <v>39290.491131513685</v>
      </c>
      <c r="P91" s="123">
        <v>1.3745177028292623</v>
      </c>
      <c r="Q91" s="154">
        <v>8</v>
      </c>
      <c r="R91" s="130">
        <v>409.78715632885996</v>
      </c>
      <c r="S91" s="116">
        <v>17.07446484703583</v>
      </c>
      <c r="T91" s="154" t="s">
        <v>168</v>
      </c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/>
      <c r="AR91" s="154"/>
      <c r="AS91" s="154"/>
    </row>
    <row r="92" spans="1:45" s="155" customFormat="1" ht="12">
      <c r="A92" s="150">
        <v>69</v>
      </c>
      <c r="B92" s="151">
        <v>38</v>
      </c>
      <c r="C92" s="152">
        <v>51.4</v>
      </c>
      <c r="D92" s="153" t="s">
        <v>32</v>
      </c>
      <c r="E92" s="151">
        <v>73</v>
      </c>
      <c r="F92" s="152">
        <v>22.7</v>
      </c>
      <c r="G92" s="153" t="s">
        <v>33</v>
      </c>
      <c r="H92" s="126">
        <v>11.00679959437088</v>
      </c>
      <c r="I92" s="126">
        <v>20.388261781972993</v>
      </c>
      <c r="J92" s="119">
        <v>5893.1844726311765</v>
      </c>
      <c r="K92" s="154">
        <v>400</v>
      </c>
      <c r="L92" s="154">
        <v>0.4666666666666667</v>
      </c>
      <c r="M92" s="152">
        <v>0.65</v>
      </c>
      <c r="N92" s="122">
        <v>39290.54845859491</v>
      </c>
      <c r="O92" s="122">
        <v>39290.594986372686</v>
      </c>
      <c r="P92" s="123">
        <v>1.37584994929636</v>
      </c>
      <c r="Q92" s="154">
        <v>8</v>
      </c>
      <c r="R92" s="130">
        <v>412.27967294482295</v>
      </c>
      <c r="S92" s="116">
        <v>17.17831970603429</v>
      </c>
      <c r="T92" s="154" t="s">
        <v>168</v>
      </c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</row>
    <row r="93" spans="1:45" s="155" customFormat="1" ht="12">
      <c r="A93" s="150">
        <v>70</v>
      </c>
      <c r="B93" s="151">
        <v>38</v>
      </c>
      <c r="C93" s="152">
        <v>44.2</v>
      </c>
      <c r="D93" s="153" t="s">
        <v>32</v>
      </c>
      <c r="E93" s="151">
        <v>73</v>
      </c>
      <c r="F93" s="152">
        <v>12</v>
      </c>
      <c r="G93" s="153" t="s">
        <v>33</v>
      </c>
      <c r="H93" s="126">
        <v>11.017437648991566</v>
      </c>
      <c r="I93" s="126">
        <v>20.40796700514871</v>
      </c>
      <c r="J93" s="119">
        <v>5913.592439636325</v>
      </c>
      <c r="K93" s="154">
        <v>600</v>
      </c>
      <c r="L93" s="154">
        <v>0.7</v>
      </c>
      <c r="M93" s="152">
        <v>0.65</v>
      </c>
      <c r="N93" s="122">
        <v>39290.65236886044</v>
      </c>
      <c r="O93" s="122">
        <v>39290.708618860444</v>
      </c>
      <c r="P93" s="123">
        <v>1.3771797061239457</v>
      </c>
      <c r="Q93" s="154">
        <v>8</v>
      </c>
      <c r="R93" s="130">
        <v>415.0068526509469</v>
      </c>
      <c r="S93" s="116">
        <v>17.291952193789452</v>
      </c>
      <c r="T93" s="154" t="s">
        <v>168</v>
      </c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54"/>
      <c r="AM93" s="154"/>
      <c r="AN93" s="154"/>
      <c r="AO93" s="154"/>
      <c r="AP93" s="154"/>
      <c r="AQ93" s="154"/>
      <c r="AR93" s="154"/>
      <c r="AS93" s="154"/>
    </row>
    <row r="94" spans="1:45" s="155" customFormat="1" ht="12">
      <c r="A94" s="150">
        <v>71</v>
      </c>
      <c r="B94" s="151">
        <v>38</v>
      </c>
      <c r="C94" s="152">
        <v>37</v>
      </c>
      <c r="D94" s="153" t="s">
        <v>32</v>
      </c>
      <c r="E94" s="151">
        <v>73</v>
      </c>
      <c r="F94" s="152">
        <v>1.2999999999999936</v>
      </c>
      <c r="G94" s="153" t="s">
        <v>33</v>
      </c>
      <c r="H94" s="126">
        <v>11.028055657700484</v>
      </c>
      <c r="I94" s="126">
        <v>20.427635096613866</v>
      </c>
      <c r="J94" s="119">
        <v>5934.020074732939</v>
      </c>
      <c r="K94" s="154">
        <v>800</v>
      </c>
      <c r="L94" s="154">
        <v>0.9333333333333333</v>
      </c>
      <c r="M94" s="152">
        <v>0.65</v>
      </c>
      <c r="N94" s="122">
        <v>39290.766056650325</v>
      </c>
      <c r="O94" s="122">
        <v>39290.832028872544</v>
      </c>
      <c r="P94" s="123">
        <v>1.3785069572125606</v>
      </c>
      <c r="Q94" s="154">
        <v>8</v>
      </c>
      <c r="R94" s="130">
        <v>417.96869294149275</v>
      </c>
      <c r="S94" s="116">
        <v>17.41536220589553</v>
      </c>
      <c r="T94" s="154" t="s">
        <v>168</v>
      </c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  <c r="AR94" s="154"/>
      <c r="AS94" s="154"/>
    </row>
    <row r="95" spans="1:45" s="155" customFormat="1" ht="12">
      <c r="A95" s="150">
        <v>72</v>
      </c>
      <c r="B95" s="151">
        <v>38</v>
      </c>
      <c r="C95" s="152">
        <v>29.8</v>
      </c>
      <c r="D95" s="153" t="s">
        <v>32</v>
      </c>
      <c r="E95" s="151">
        <v>72</v>
      </c>
      <c r="F95" s="152">
        <v>50.6</v>
      </c>
      <c r="G95" s="153" t="s">
        <v>33</v>
      </c>
      <c r="H95" s="126">
        <v>11.038653492205766</v>
      </c>
      <c r="I95" s="126">
        <v>20.447265818729147</v>
      </c>
      <c r="J95" s="119">
        <v>5954.467340551668</v>
      </c>
      <c r="K95" s="154">
        <v>1000</v>
      </c>
      <c r="L95" s="154">
        <v>1.1666666666666667</v>
      </c>
      <c r="M95" s="152">
        <v>0.65</v>
      </c>
      <c r="N95" s="122">
        <v>39290.889521859484</v>
      </c>
      <c r="O95" s="122">
        <v>39290.96521630393</v>
      </c>
      <c r="P95" s="123">
        <v>1.3798316865257207</v>
      </c>
      <c r="Q95" s="154">
        <v>8</v>
      </c>
      <c r="R95" s="130">
        <v>421.16519129468514</v>
      </c>
      <c r="S95" s="116">
        <v>17.548549637278548</v>
      </c>
      <c r="T95" s="154" t="s">
        <v>168</v>
      </c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</row>
    <row r="96" spans="1:45" s="5" customFormat="1" ht="12">
      <c r="A96" s="132" t="s">
        <v>37</v>
      </c>
      <c r="B96" s="125">
        <v>39</v>
      </c>
      <c r="C96" s="134">
        <v>15</v>
      </c>
      <c r="D96" s="126" t="s">
        <v>32</v>
      </c>
      <c r="E96" s="125">
        <v>73</v>
      </c>
      <c r="F96" s="134">
        <v>8</v>
      </c>
      <c r="G96" s="126" t="s">
        <v>33</v>
      </c>
      <c r="H96" s="126">
        <v>47.18622797434327</v>
      </c>
      <c r="I96" s="126">
        <v>87.40462295114185</v>
      </c>
      <c r="J96" s="119">
        <v>6041.87196350281</v>
      </c>
      <c r="K96" s="116">
        <v>0</v>
      </c>
      <c r="L96" s="116">
        <v>0</v>
      </c>
      <c r="M96" s="134">
        <v>0</v>
      </c>
      <c r="N96" s="122">
        <v>39291.129057373284</v>
      </c>
      <c r="O96" s="122">
        <v>39291.129057373284</v>
      </c>
      <c r="P96" s="123">
        <v>3.9321856645286055</v>
      </c>
      <c r="Q96" s="116">
        <v>12</v>
      </c>
      <c r="R96" s="130">
        <v>425.09737695921376</v>
      </c>
      <c r="S96" s="116">
        <v>17.712390706633908</v>
      </c>
      <c r="T96" s="116" t="s">
        <v>169</v>
      </c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</row>
    <row r="97" spans="1:45" s="5" customFormat="1" ht="12">
      <c r="A97" s="132" t="s">
        <v>37</v>
      </c>
      <c r="B97" s="125">
        <v>40</v>
      </c>
      <c r="C97" s="134">
        <v>17.5</v>
      </c>
      <c r="D97" s="126" t="s">
        <v>32</v>
      </c>
      <c r="E97" s="125">
        <v>72</v>
      </c>
      <c r="F97" s="134">
        <v>0.2</v>
      </c>
      <c r="G97" s="126" t="s">
        <v>33</v>
      </c>
      <c r="H97" s="126">
        <v>81.3732997880428</v>
      </c>
      <c r="I97" s="126">
        <v>150.73047564071794</v>
      </c>
      <c r="J97" s="119">
        <v>6192.602439143528</v>
      </c>
      <c r="K97" s="116">
        <v>0</v>
      </c>
      <c r="L97" s="116">
        <v>0</v>
      </c>
      <c r="M97" s="134">
        <v>0</v>
      </c>
      <c r="N97" s="122">
        <v>39291.411603553104</v>
      </c>
      <c r="O97" s="122">
        <v>39291.411603553104</v>
      </c>
      <c r="P97" s="123">
        <v>6.781108315670234</v>
      </c>
      <c r="Q97" s="116">
        <v>12</v>
      </c>
      <c r="R97" s="130">
        <v>431.878485274884</v>
      </c>
      <c r="S97" s="116">
        <v>17.994936886453498</v>
      </c>
      <c r="T97" s="116" t="s">
        <v>169</v>
      </c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</row>
    <row r="98" spans="1:45" s="173" customFormat="1" ht="12">
      <c r="A98" s="168">
        <v>73</v>
      </c>
      <c r="B98" s="169">
        <v>40</v>
      </c>
      <c r="C98" s="170">
        <v>17.4</v>
      </c>
      <c r="D98" s="171" t="s">
        <v>32</v>
      </c>
      <c r="E98" s="169">
        <v>70</v>
      </c>
      <c r="F98" s="170">
        <v>12</v>
      </c>
      <c r="G98" s="171" t="s">
        <v>33</v>
      </c>
      <c r="H98" s="126">
        <v>82.53054458059603</v>
      </c>
      <c r="I98" s="126">
        <v>152.8740787447907</v>
      </c>
      <c r="J98" s="119">
        <v>6345.476517888318</v>
      </c>
      <c r="K98" s="172">
        <v>90</v>
      </c>
      <c r="L98" s="172">
        <v>0.15</v>
      </c>
      <c r="M98" s="170">
        <v>0.15</v>
      </c>
      <c r="N98" s="122">
        <v>39291.69816794401</v>
      </c>
      <c r="O98" s="122">
        <v>39291.710667944004</v>
      </c>
      <c r="P98" s="123">
        <v>6.8775453817163354</v>
      </c>
      <c r="Q98" s="172">
        <v>12</v>
      </c>
      <c r="R98" s="130">
        <v>439.0560306566003</v>
      </c>
      <c r="S98" s="116">
        <v>18.294001277358344</v>
      </c>
      <c r="T98" s="172" t="s">
        <v>169</v>
      </c>
      <c r="V98" s="172" t="s">
        <v>10</v>
      </c>
      <c r="W98" s="172"/>
      <c r="X98" s="172"/>
      <c r="Y98" s="172"/>
      <c r="Z98" s="172"/>
      <c r="AA98" s="172"/>
      <c r="AB98" s="172"/>
      <c r="AC98" s="172"/>
      <c r="AD98" s="172"/>
      <c r="AE98" s="172"/>
      <c r="AF98" s="172"/>
      <c r="AG98" s="172"/>
      <c r="AH98" s="172"/>
      <c r="AI98" s="172"/>
      <c r="AJ98" s="172"/>
      <c r="AK98" s="172"/>
      <c r="AL98" s="172"/>
      <c r="AM98" s="172"/>
      <c r="AN98" s="172"/>
      <c r="AO98" s="172"/>
      <c r="AP98" s="172"/>
      <c r="AQ98" s="172"/>
      <c r="AR98" s="172"/>
      <c r="AS98" s="172"/>
    </row>
    <row r="99" spans="1:45" s="173" customFormat="1" ht="12">
      <c r="A99" s="168">
        <v>74</v>
      </c>
      <c r="B99" s="169">
        <v>40</v>
      </c>
      <c r="C99" s="170">
        <v>8.46</v>
      </c>
      <c r="D99" s="171" t="s">
        <v>32</v>
      </c>
      <c r="E99" s="169">
        <v>70</v>
      </c>
      <c r="F99" s="170">
        <v>6.96</v>
      </c>
      <c r="G99" s="171" t="s">
        <v>33</v>
      </c>
      <c r="H99" s="126">
        <v>9.733226251981952</v>
      </c>
      <c r="I99" s="126">
        <v>18.029179427421237</v>
      </c>
      <c r="J99" s="119">
        <v>6363.505697315739</v>
      </c>
      <c r="K99" s="172">
        <v>160</v>
      </c>
      <c r="L99" s="172">
        <v>0.26666666666666666</v>
      </c>
      <c r="M99" s="170">
        <v>0.8</v>
      </c>
      <c r="N99" s="122">
        <v>39291.76136183073</v>
      </c>
      <c r="O99" s="122">
        <v>39291.80580627517</v>
      </c>
      <c r="P99" s="123">
        <v>1.216653281497744</v>
      </c>
      <c r="Q99" s="172">
        <v>8</v>
      </c>
      <c r="R99" s="130">
        <v>441.3393506047647</v>
      </c>
      <c r="S99" s="116">
        <v>18.389139608531863</v>
      </c>
      <c r="T99" s="172" t="s">
        <v>169</v>
      </c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  <c r="AF99" s="172"/>
      <c r="AG99" s="172"/>
      <c r="AH99" s="172"/>
      <c r="AI99" s="172"/>
      <c r="AJ99" s="172"/>
      <c r="AK99" s="172"/>
      <c r="AL99" s="172"/>
      <c r="AM99" s="172"/>
      <c r="AN99" s="172"/>
      <c r="AO99" s="172"/>
      <c r="AP99" s="172"/>
      <c r="AQ99" s="172"/>
      <c r="AR99" s="172"/>
      <c r="AS99" s="172"/>
    </row>
    <row r="100" spans="1:45" s="173" customFormat="1" ht="12">
      <c r="A100" s="168">
        <v>75</v>
      </c>
      <c r="B100" s="169">
        <v>40</v>
      </c>
      <c r="C100" s="170">
        <v>0</v>
      </c>
      <c r="D100" s="171" t="s">
        <v>32</v>
      </c>
      <c r="E100" s="169">
        <v>70</v>
      </c>
      <c r="F100" s="170">
        <v>0</v>
      </c>
      <c r="G100" s="171" t="s">
        <v>33</v>
      </c>
      <c r="H100" s="126">
        <v>9.996976373225614</v>
      </c>
      <c r="I100" s="126">
        <v>18.51773256867158</v>
      </c>
      <c r="J100" s="119">
        <v>6382.023429884411</v>
      </c>
      <c r="K100" s="172">
        <v>160</v>
      </c>
      <c r="L100" s="172">
        <v>0.26666666666666666</v>
      </c>
      <c r="M100" s="170">
        <v>0.8</v>
      </c>
      <c r="N100" s="122">
        <v>39291.85787386045</v>
      </c>
      <c r="O100" s="122">
        <v>39291.90231830489</v>
      </c>
      <c r="P100" s="123">
        <v>1.2496220466532018</v>
      </c>
      <c r="Q100" s="172">
        <v>8</v>
      </c>
      <c r="R100" s="130">
        <v>443.6556393180846</v>
      </c>
      <c r="S100" s="116">
        <v>18.485651638253525</v>
      </c>
      <c r="T100" s="172" t="s">
        <v>169</v>
      </c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  <c r="AF100" s="172"/>
      <c r="AG100" s="172"/>
      <c r="AH100" s="172"/>
      <c r="AI100" s="172"/>
      <c r="AJ100" s="172"/>
      <c r="AK100" s="172"/>
      <c r="AL100" s="172"/>
      <c r="AM100" s="172"/>
      <c r="AN100" s="172"/>
      <c r="AO100" s="172"/>
      <c r="AP100" s="172"/>
      <c r="AQ100" s="172"/>
      <c r="AR100" s="172"/>
      <c r="AS100" s="172"/>
    </row>
    <row r="101" spans="1:45" s="173" customFormat="1" ht="12">
      <c r="A101" s="168">
        <v>76</v>
      </c>
      <c r="B101" s="169">
        <v>39</v>
      </c>
      <c r="C101" s="170">
        <v>54.36</v>
      </c>
      <c r="D101" s="171" t="s">
        <v>32</v>
      </c>
      <c r="E101" s="169">
        <v>69</v>
      </c>
      <c r="F101" s="170">
        <v>55.8</v>
      </c>
      <c r="G101" s="171" t="s">
        <v>33</v>
      </c>
      <c r="H101" s="126">
        <v>6.494260346264244</v>
      </c>
      <c r="I101" s="126">
        <v>12.029534914730133</v>
      </c>
      <c r="J101" s="119">
        <v>6394.052964799141</v>
      </c>
      <c r="K101" s="172">
        <v>700</v>
      </c>
      <c r="L101" s="172">
        <v>0.8166666666666667</v>
      </c>
      <c r="M101" s="170">
        <v>1.2</v>
      </c>
      <c r="N101" s="122">
        <v>39291.93614257753</v>
      </c>
      <c r="O101" s="122">
        <v>39292.0201703553</v>
      </c>
      <c r="P101" s="123">
        <v>0.8117825432830305</v>
      </c>
      <c r="Q101" s="172">
        <v>8</v>
      </c>
      <c r="R101" s="130">
        <v>446.48408852803425</v>
      </c>
      <c r="S101" s="116">
        <v>18.603503688668095</v>
      </c>
      <c r="T101" s="172" t="s">
        <v>170</v>
      </c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2"/>
      <c r="AG101" s="172"/>
      <c r="AH101" s="172"/>
      <c r="AI101" s="172"/>
      <c r="AJ101" s="172"/>
      <c r="AK101" s="172"/>
      <c r="AL101" s="172"/>
      <c r="AM101" s="172"/>
      <c r="AN101" s="172"/>
      <c r="AO101" s="172"/>
      <c r="AP101" s="172"/>
      <c r="AQ101" s="172"/>
      <c r="AR101" s="172"/>
      <c r="AS101" s="172"/>
    </row>
    <row r="102" spans="1:45" s="173" customFormat="1" ht="12">
      <c r="A102" s="168">
        <v>77</v>
      </c>
      <c r="B102" s="169">
        <v>39</v>
      </c>
      <c r="C102" s="170">
        <v>51.54</v>
      </c>
      <c r="D102" s="171" t="s">
        <v>32</v>
      </c>
      <c r="E102" s="169">
        <v>69</v>
      </c>
      <c r="F102" s="170">
        <v>54.06</v>
      </c>
      <c r="G102" s="171" t="s">
        <v>33</v>
      </c>
      <c r="H102" s="126">
        <v>3.1201250968469942</v>
      </c>
      <c r="I102" s="126">
        <v>5.779511721059582</v>
      </c>
      <c r="J102" s="119">
        <v>6399.8324765202005</v>
      </c>
      <c r="K102" s="172">
        <v>1000</v>
      </c>
      <c r="L102" s="172">
        <v>1.1666666666666667</v>
      </c>
      <c r="M102" s="170">
        <v>1.6</v>
      </c>
      <c r="N102" s="122">
        <v>39292.03642100685</v>
      </c>
      <c r="O102" s="122">
        <v>39292.151698784626</v>
      </c>
      <c r="P102" s="123">
        <v>0.3900156371058743</v>
      </c>
      <c r="Q102" s="172">
        <v>8</v>
      </c>
      <c r="R102" s="130">
        <v>449.64077083180683</v>
      </c>
      <c r="S102" s="116">
        <v>18.735032117991953</v>
      </c>
      <c r="T102" s="172" t="s">
        <v>170</v>
      </c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  <c r="AF102" s="172"/>
      <c r="AG102" s="172"/>
      <c r="AH102" s="172"/>
      <c r="AI102" s="172"/>
      <c r="AJ102" s="172"/>
      <c r="AK102" s="172"/>
      <c r="AL102" s="172"/>
      <c r="AM102" s="172"/>
      <c r="AN102" s="172"/>
      <c r="AO102" s="172"/>
      <c r="AP102" s="172"/>
      <c r="AQ102" s="172"/>
      <c r="AR102" s="172"/>
      <c r="AS102" s="172"/>
    </row>
    <row r="103" spans="1:45" s="173" customFormat="1" ht="12">
      <c r="A103" s="168">
        <v>78</v>
      </c>
      <c r="B103" s="169">
        <v>39</v>
      </c>
      <c r="C103" s="170">
        <v>47.4</v>
      </c>
      <c r="D103" s="171" t="s">
        <v>32</v>
      </c>
      <c r="E103" s="169">
        <v>69</v>
      </c>
      <c r="F103" s="170">
        <v>51.18</v>
      </c>
      <c r="G103" s="171" t="s">
        <v>33</v>
      </c>
      <c r="H103" s="126">
        <v>4.693821291967982</v>
      </c>
      <c r="I103" s="126">
        <v>8.694521639822026</v>
      </c>
      <c r="J103" s="119">
        <v>6408.526998160022</v>
      </c>
      <c r="K103" s="172">
        <v>1500</v>
      </c>
      <c r="L103" s="172">
        <v>1.75</v>
      </c>
      <c r="M103" s="170">
        <v>1.4</v>
      </c>
      <c r="N103" s="122">
        <v>39292.17614577052</v>
      </c>
      <c r="O103" s="122">
        <v>39292.30739577052</v>
      </c>
      <c r="P103" s="123">
        <v>0.5867276614959978</v>
      </c>
      <c r="Q103" s="172">
        <v>8</v>
      </c>
      <c r="R103" s="130">
        <v>453.3774984933028</v>
      </c>
      <c r="S103" s="116">
        <v>18.89072910388762</v>
      </c>
      <c r="T103" s="172" t="s">
        <v>170</v>
      </c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172"/>
      <c r="AG103" s="172"/>
      <c r="AH103" s="172"/>
      <c r="AI103" s="172"/>
      <c r="AJ103" s="172"/>
      <c r="AK103" s="172"/>
      <c r="AL103" s="172"/>
      <c r="AM103" s="172"/>
      <c r="AN103" s="172"/>
      <c r="AO103" s="172"/>
      <c r="AP103" s="172"/>
      <c r="AQ103" s="172"/>
      <c r="AR103" s="172"/>
      <c r="AS103" s="172"/>
    </row>
    <row r="104" spans="1:45" s="173" customFormat="1" ht="12">
      <c r="A104" s="168">
        <v>79</v>
      </c>
      <c r="B104" s="169">
        <v>39</v>
      </c>
      <c r="C104" s="170">
        <v>42</v>
      </c>
      <c r="D104" s="171" t="s">
        <v>32</v>
      </c>
      <c r="E104" s="169">
        <v>69</v>
      </c>
      <c r="F104" s="170">
        <v>48</v>
      </c>
      <c r="G104" s="171" t="s">
        <v>33</v>
      </c>
      <c r="H104" s="126">
        <v>5.9277721778955295</v>
      </c>
      <c r="I104" s="126">
        <v>10.98020999752182</v>
      </c>
      <c r="J104" s="119">
        <v>6419.5072081575445</v>
      </c>
      <c r="K104" s="172">
        <v>2000</v>
      </c>
      <c r="L104" s="172">
        <v>2.3333333333333335</v>
      </c>
      <c r="M104" s="170">
        <v>1.3</v>
      </c>
      <c r="N104" s="122">
        <v>39292.33826958395</v>
      </c>
      <c r="O104" s="122">
        <v>39292.489658472834</v>
      </c>
      <c r="P104" s="123">
        <v>0.7409715222369412</v>
      </c>
      <c r="Q104" s="172">
        <v>8</v>
      </c>
      <c r="R104" s="130">
        <v>457.75180334887307</v>
      </c>
      <c r="S104" s="116">
        <v>19.072991806203046</v>
      </c>
      <c r="T104" s="172" t="s">
        <v>170</v>
      </c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72"/>
    </row>
    <row r="105" spans="1:45" s="173" customFormat="1" ht="12">
      <c r="A105" s="168">
        <v>80</v>
      </c>
      <c r="B105" s="169">
        <v>39</v>
      </c>
      <c r="C105" s="170">
        <v>28.62</v>
      </c>
      <c r="D105" s="171" t="s">
        <v>32</v>
      </c>
      <c r="E105" s="169">
        <v>69</v>
      </c>
      <c r="F105" s="170">
        <v>38.34</v>
      </c>
      <c r="G105" s="171" t="s">
        <v>33</v>
      </c>
      <c r="H105" s="126">
        <v>15.311537114141164</v>
      </c>
      <c r="I105" s="126">
        <v>28.362070581094148</v>
      </c>
      <c r="J105" s="119">
        <v>6447.869278738639</v>
      </c>
      <c r="K105" s="172">
        <v>2400</v>
      </c>
      <c r="L105" s="172">
        <v>2.8</v>
      </c>
      <c r="M105" s="170">
        <v>0.15</v>
      </c>
      <c r="N105" s="122">
        <v>39292.56940606197</v>
      </c>
      <c r="O105" s="122">
        <v>39292.69232272864</v>
      </c>
      <c r="P105" s="123">
        <v>1.9139421392676454</v>
      </c>
      <c r="Q105" s="172">
        <v>8</v>
      </c>
      <c r="R105" s="130">
        <v>462.6157454881407</v>
      </c>
      <c r="S105" s="116">
        <v>19.27565606200586</v>
      </c>
      <c r="T105" s="172" t="s">
        <v>170</v>
      </c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  <c r="AF105" s="172"/>
      <c r="AG105" s="172"/>
      <c r="AH105" s="172"/>
      <c r="AI105" s="172"/>
      <c r="AJ105" s="172"/>
      <c r="AK105" s="172"/>
      <c r="AL105" s="172"/>
      <c r="AM105" s="172"/>
      <c r="AN105" s="172"/>
      <c r="AO105" s="172"/>
      <c r="AP105" s="172"/>
      <c r="AQ105" s="172"/>
      <c r="AR105" s="172"/>
      <c r="AS105" s="172"/>
    </row>
    <row r="106" spans="1:45" s="173" customFormat="1" ht="12">
      <c r="A106" s="168">
        <v>81</v>
      </c>
      <c r="B106" s="169">
        <v>39</v>
      </c>
      <c r="C106" s="170">
        <v>21</v>
      </c>
      <c r="D106" s="171" t="s">
        <v>32</v>
      </c>
      <c r="E106" s="169">
        <v>69</v>
      </c>
      <c r="F106" s="170">
        <v>32.22</v>
      </c>
      <c r="G106" s="171" t="s">
        <v>33</v>
      </c>
      <c r="H106" s="126">
        <v>8.967740972405863</v>
      </c>
      <c r="I106" s="126">
        <v>16.61124552788646</v>
      </c>
      <c r="J106" s="119">
        <v>6464.480524266525</v>
      </c>
      <c r="K106" s="172">
        <v>2500</v>
      </c>
      <c r="L106" s="172">
        <v>2.916666666666667</v>
      </c>
      <c r="M106" s="170">
        <v>0.9</v>
      </c>
      <c r="N106" s="122">
        <v>39292.73902971287</v>
      </c>
      <c r="O106" s="122">
        <v>39292.89805749065</v>
      </c>
      <c r="P106" s="123">
        <v>1.120967621550733</v>
      </c>
      <c r="Q106" s="172">
        <v>8</v>
      </c>
      <c r="R106" s="130">
        <v>467.5533797763581</v>
      </c>
      <c r="S106" s="116">
        <v>19.48139082401492</v>
      </c>
      <c r="T106" s="172" t="s">
        <v>170</v>
      </c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  <c r="AF106" s="172"/>
      <c r="AG106" s="172"/>
      <c r="AH106" s="172"/>
      <c r="AI106" s="172"/>
      <c r="AJ106" s="172"/>
      <c r="AK106" s="172"/>
      <c r="AL106" s="172"/>
      <c r="AM106" s="172"/>
      <c r="AN106" s="172"/>
      <c r="AO106" s="172"/>
      <c r="AP106" s="172"/>
      <c r="AQ106" s="172"/>
      <c r="AR106" s="172"/>
      <c r="AS106" s="172"/>
    </row>
    <row r="107" spans="1:45" s="173" customFormat="1" ht="12">
      <c r="A107" s="168">
        <v>82</v>
      </c>
      <c r="B107" s="169">
        <v>39</v>
      </c>
      <c r="C107" s="170">
        <v>5.22</v>
      </c>
      <c r="D107" s="171" t="s">
        <v>32</v>
      </c>
      <c r="E107" s="169">
        <v>69</v>
      </c>
      <c r="F107" s="170">
        <v>21.24</v>
      </c>
      <c r="G107" s="171" t="s">
        <v>33</v>
      </c>
      <c r="H107" s="126">
        <v>17.926825627251176</v>
      </c>
      <c r="I107" s="126">
        <v>33.206456670211594</v>
      </c>
      <c r="J107" s="119">
        <v>6497.686980936737</v>
      </c>
      <c r="K107" s="172">
        <v>3000</v>
      </c>
      <c r="L107" s="172">
        <v>3.5</v>
      </c>
      <c r="M107" s="170">
        <v>0.15</v>
      </c>
      <c r="N107" s="122">
        <v>39292.98105205374</v>
      </c>
      <c r="O107" s="122">
        <v>39293.13313538708</v>
      </c>
      <c r="P107" s="123">
        <v>1.9918695141390197</v>
      </c>
      <c r="Q107" s="172">
        <v>9</v>
      </c>
      <c r="R107" s="130">
        <v>473.1952492904971</v>
      </c>
      <c r="S107" s="116">
        <v>19.71646872043738</v>
      </c>
      <c r="T107" s="172" t="s">
        <v>164</v>
      </c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2"/>
      <c r="AG107" s="172"/>
      <c r="AH107" s="172"/>
      <c r="AI107" s="172"/>
      <c r="AJ107" s="172"/>
      <c r="AK107" s="172"/>
      <c r="AL107" s="172"/>
      <c r="AM107" s="172"/>
      <c r="AN107" s="172"/>
      <c r="AO107" s="172"/>
      <c r="AP107" s="172"/>
      <c r="AQ107" s="172"/>
      <c r="AR107" s="172"/>
      <c r="AS107" s="172"/>
    </row>
    <row r="108" spans="1:45" s="173" customFormat="1" ht="12">
      <c r="A108" s="168">
        <v>83</v>
      </c>
      <c r="B108" s="169">
        <v>38</v>
      </c>
      <c r="C108" s="170">
        <v>49.2</v>
      </c>
      <c r="D108" s="171" t="s">
        <v>32</v>
      </c>
      <c r="E108" s="169">
        <v>69</v>
      </c>
      <c r="F108" s="170">
        <v>12</v>
      </c>
      <c r="G108" s="171" t="s">
        <v>33</v>
      </c>
      <c r="H108" s="126">
        <v>17.557681406268273</v>
      </c>
      <c r="I108" s="126">
        <v>32.5226785248776</v>
      </c>
      <c r="J108" s="119">
        <v>6530.209659461615</v>
      </c>
      <c r="K108" s="172">
        <v>3300</v>
      </c>
      <c r="L108" s="172">
        <v>3.85</v>
      </c>
      <c r="M108" s="170">
        <v>0.15</v>
      </c>
      <c r="N108" s="122">
        <v>39293.214420949145</v>
      </c>
      <c r="O108" s="122">
        <v>39293.38108761581</v>
      </c>
      <c r="P108" s="123">
        <v>1.9508534895853638</v>
      </c>
      <c r="Q108" s="172">
        <v>9</v>
      </c>
      <c r="R108" s="130">
        <v>479.14610278008246</v>
      </c>
      <c r="S108" s="116">
        <v>19.9644209491701</v>
      </c>
      <c r="T108" s="172" t="s">
        <v>164</v>
      </c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2"/>
      <c r="AG108" s="172"/>
      <c r="AH108" s="172"/>
      <c r="AI108" s="172"/>
      <c r="AJ108" s="172"/>
      <c r="AK108" s="172"/>
      <c r="AL108" s="172"/>
      <c r="AM108" s="172"/>
      <c r="AN108" s="172"/>
      <c r="AO108" s="172"/>
      <c r="AP108" s="172"/>
      <c r="AQ108" s="172"/>
      <c r="AR108" s="172"/>
      <c r="AS108" s="172"/>
    </row>
    <row r="109" spans="1:45" s="173" customFormat="1" ht="12">
      <c r="A109" s="168">
        <v>84</v>
      </c>
      <c r="B109" s="169">
        <v>38</v>
      </c>
      <c r="C109" s="170">
        <v>33.48</v>
      </c>
      <c r="D109" s="171" t="s">
        <v>32</v>
      </c>
      <c r="E109" s="169">
        <v>69</v>
      </c>
      <c r="F109" s="170">
        <v>0.6</v>
      </c>
      <c r="G109" s="171" t="s">
        <v>33</v>
      </c>
      <c r="H109" s="126">
        <v>18.063700192250913</v>
      </c>
      <c r="I109" s="126">
        <v>33.45999398944611</v>
      </c>
      <c r="J109" s="119">
        <v>6563.669653451061</v>
      </c>
      <c r="K109" s="172">
        <v>3400</v>
      </c>
      <c r="L109" s="172">
        <v>3.966666666666667</v>
      </c>
      <c r="M109" s="170">
        <v>0.15</v>
      </c>
      <c r="N109" s="122">
        <v>39293.46471585744</v>
      </c>
      <c r="O109" s="122">
        <v>39293.636243635214</v>
      </c>
      <c r="P109" s="123">
        <v>2.0070777991389903</v>
      </c>
      <c r="Q109" s="172">
        <v>9</v>
      </c>
      <c r="R109" s="130">
        <v>485.26984724588806</v>
      </c>
      <c r="S109" s="116">
        <v>20.219576968578668</v>
      </c>
      <c r="T109" s="172" t="s">
        <v>164</v>
      </c>
      <c r="V109" s="172"/>
      <c r="W109" s="172"/>
      <c r="X109" s="172"/>
      <c r="Y109" s="172"/>
      <c r="Z109" s="172"/>
      <c r="AA109" s="172"/>
      <c r="AB109" s="172"/>
      <c r="AC109" s="172"/>
      <c r="AD109" s="172"/>
      <c r="AE109" s="172"/>
      <c r="AF109" s="172"/>
      <c r="AG109" s="172"/>
      <c r="AH109" s="172"/>
      <c r="AI109" s="172"/>
      <c r="AJ109" s="172"/>
      <c r="AK109" s="172"/>
      <c r="AL109" s="172"/>
      <c r="AM109" s="172"/>
      <c r="AN109" s="172"/>
      <c r="AO109" s="172"/>
      <c r="AP109" s="172"/>
      <c r="AQ109" s="172"/>
      <c r="AR109" s="172"/>
      <c r="AS109" s="172"/>
    </row>
    <row r="110" spans="1:45" s="173" customFormat="1" ht="12">
      <c r="A110" s="168">
        <v>85</v>
      </c>
      <c r="B110" s="169">
        <v>38</v>
      </c>
      <c r="C110" s="170">
        <v>19.32</v>
      </c>
      <c r="D110" s="171" t="s">
        <v>32</v>
      </c>
      <c r="E110" s="169">
        <v>68</v>
      </c>
      <c r="F110" s="170">
        <v>52.14</v>
      </c>
      <c r="G110" s="171" t="s">
        <v>33</v>
      </c>
      <c r="H110" s="126">
        <v>15.633754392483326</v>
      </c>
      <c r="I110" s="126">
        <v>28.958924386343277</v>
      </c>
      <c r="J110" s="119">
        <v>6592.628577837404</v>
      </c>
      <c r="K110" s="172">
        <v>3800</v>
      </c>
      <c r="L110" s="172">
        <v>4.433333333333334</v>
      </c>
      <c r="M110" s="170">
        <v>0.15</v>
      </c>
      <c r="N110" s="122">
        <v>39293.70862212777</v>
      </c>
      <c r="O110" s="122">
        <v>39293.89959434999</v>
      </c>
      <c r="P110" s="123">
        <v>1.737083821387036</v>
      </c>
      <c r="Q110" s="172">
        <v>9</v>
      </c>
      <c r="R110" s="130">
        <v>491.5902644006084</v>
      </c>
      <c r="S110" s="116">
        <v>20.482927683358685</v>
      </c>
      <c r="T110" s="172" t="s">
        <v>164</v>
      </c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  <c r="AF110" s="172"/>
      <c r="AG110" s="172"/>
      <c r="AH110" s="172"/>
      <c r="AI110" s="172"/>
      <c r="AJ110" s="172"/>
      <c r="AK110" s="172"/>
      <c r="AL110" s="172"/>
      <c r="AM110" s="172"/>
      <c r="AN110" s="172"/>
      <c r="AO110" s="172"/>
      <c r="AP110" s="172"/>
      <c r="AQ110" s="172"/>
      <c r="AR110" s="172"/>
      <c r="AS110" s="172"/>
    </row>
    <row r="111" spans="1:45" s="173" customFormat="1" ht="12">
      <c r="A111" s="168">
        <v>86</v>
      </c>
      <c r="B111" s="169">
        <v>38</v>
      </c>
      <c r="C111" s="170">
        <v>5.4</v>
      </c>
      <c r="D111" s="171" t="s">
        <v>32</v>
      </c>
      <c r="E111" s="169">
        <v>68</v>
      </c>
      <c r="F111" s="170">
        <v>42</v>
      </c>
      <c r="G111" s="171" t="s">
        <v>33</v>
      </c>
      <c r="H111" s="126">
        <v>16.039142054055727</v>
      </c>
      <c r="I111" s="126">
        <v>29.709837464795893</v>
      </c>
      <c r="J111" s="119">
        <v>6622.3384153022</v>
      </c>
      <c r="K111" s="172">
        <v>4300</v>
      </c>
      <c r="L111" s="172">
        <v>5.016666666666667</v>
      </c>
      <c r="M111" s="170">
        <v>0.15</v>
      </c>
      <c r="N111" s="122">
        <v>39293.97384963728</v>
      </c>
      <c r="O111" s="122">
        <v>39294.18912741506</v>
      </c>
      <c r="P111" s="123">
        <v>1.7821268948950808</v>
      </c>
      <c r="Q111" s="172">
        <v>9</v>
      </c>
      <c r="R111" s="130">
        <v>498.53905796217015</v>
      </c>
      <c r="S111" s="116">
        <v>20.772460748423757</v>
      </c>
      <c r="T111" s="172" t="s">
        <v>165</v>
      </c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  <c r="AF111" s="172"/>
      <c r="AG111" s="172"/>
      <c r="AH111" s="172"/>
      <c r="AI111" s="172"/>
      <c r="AJ111" s="172"/>
      <c r="AK111" s="172"/>
      <c r="AL111" s="172"/>
      <c r="AM111" s="172"/>
      <c r="AN111" s="172"/>
      <c r="AO111" s="172"/>
      <c r="AP111" s="172"/>
      <c r="AQ111" s="172"/>
      <c r="AR111" s="172"/>
      <c r="AS111" s="172"/>
    </row>
    <row r="112" spans="1:45" s="173" customFormat="1" ht="12">
      <c r="A112" s="168">
        <v>87</v>
      </c>
      <c r="B112" s="169">
        <v>37</v>
      </c>
      <c r="C112" s="170">
        <v>51.6</v>
      </c>
      <c r="D112" s="171" t="s">
        <v>32</v>
      </c>
      <c r="E112" s="169">
        <v>68</v>
      </c>
      <c r="F112" s="170">
        <v>30.9</v>
      </c>
      <c r="G112" s="171" t="s">
        <v>33</v>
      </c>
      <c r="H112" s="126">
        <v>16.340148113057296</v>
      </c>
      <c r="I112" s="126">
        <v>30.267401021419797</v>
      </c>
      <c r="J112" s="119">
        <v>6652.605816323619</v>
      </c>
      <c r="K112" s="172">
        <v>4400</v>
      </c>
      <c r="L112" s="172">
        <v>5.133333333333333</v>
      </c>
      <c r="M112" s="170">
        <v>0.15</v>
      </c>
      <c r="N112" s="122">
        <v>39294.26477624892</v>
      </c>
      <c r="O112" s="122">
        <v>39294.48491513781</v>
      </c>
      <c r="P112" s="123">
        <v>1.8155720125619217</v>
      </c>
      <c r="Q112" s="172">
        <v>9</v>
      </c>
      <c r="R112" s="130">
        <v>505.63796330806537</v>
      </c>
      <c r="S112" s="116">
        <v>21.06824847116939</v>
      </c>
      <c r="T112" s="172" t="s">
        <v>165</v>
      </c>
      <c r="V112" s="172"/>
      <c r="W112" s="172"/>
      <c r="X112" s="172"/>
      <c r="Y112" s="172"/>
      <c r="Z112" s="172"/>
      <c r="AA112" s="172"/>
      <c r="AB112" s="172"/>
      <c r="AC112" s="172"/>
      <c r="AD112" s="172"/>
      <c r="AE112" s="172"/>
      <c r="AF112" s="172"/>
      <c r="AG112" s="172"/>
      <c r="AH112" s="172"/>
      <c r="AI112" s="172"/>
      <c r="AJ112" s="172"/>
      <c r="AK112" s="172"/>
      <c r="AL112" s="172"/>
      <c r="AM112" s="172"/>
      <c r="AN112" s="172"/>
      <c r="AO112" s="172"/>
      <c r="AP112" s="172"/>
      <c r="AQ112" s="172"/>
      <c r="AR112" s="172"/>
      <c r="AS112" s="172"/>
    </row>
    <row r="113" spans="1:45" s="173" customFormat="1" ht="12">
      <c r="A113" s="168">
        <v>88</v>
      </c>
      <c r="B113" s="169">
        <v>37</v>
      </c>
      <c r="C113" s="170">
        <v>37.26</v>
      </c>
      <c r="D113" s="171" t="s">
        <v>32</v>
      </c>
      <c r="E113" s="169">
        <v>68</v>
      </c>
      <c r="F113" s="170">
        <v>22.86</v>
      </c>
      <c r="G113" s="171" t="s">
        <v>33</v>
      </c>
      <c r="H113" s="126">
        <v>15.686270663073849</v>
      </c>
      <c r="I113" s="126">
        <v>29.05620202490046</v>
      </c>
      <c r="J113" s="119">
        <v>6681.66201834852</v>
      </c>
      <c r="K113" s="172">
        <v>4600</v>
      </c>
      <c r="L113" s="172">
        <v>5.366666666666667</v>
      </c>
      <c r="M113" s="170">
        <v>0.15</v>
      </c>
      <c r="N113" s="122">
        <v>39294.55753676125</v>
      </c>
      <c r="O113" s="122">
        <v>39294.78739787236</v>
      </c>
      <c r="P113" s="123">
        <v>1.7429189625637609</v>
      </c>
      <c r="Q113" s="172">
        <v>9</v>
      </c>
      <c r="R113" s="130">
        <v>512.8975489372957</v>
      </c>
      <c r="S113" s="116">
        <v>21.370731205720656</v>
      </c>
      <c r="T113" s="172" t="s">
        <v>165</v>
      </c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172"/>
      <c r="AJ113" s="172"/>
      <c r="AK113" s="172"/>
      <c r="AL113" s="172"/>
      <c r="AM113" s="172"/>
      <c r="AN113" s="172"/>
      <c r="AO113" s="172"/>
      <c r="AP113" s="172"/>
      <c r="AQ113" s="172"/>
      <c r="AR113" s="172"/>
      <c r="AS113" s="172"/>
    </row>
    <row r="114" spans="1:45" s="173" customFormat="1" ht="12">
      <c r="A114" s="168">
        <v>89</v>
      </c>
      <c r="B114" s="169">
        <v>37</v>
      </c>
      <c r="C114" s="170">
        <v>22.8</v>
      </c>
      <c r="D114" s="171" t="s">
        <v>32</v>
      </c>
      <c r="E114" s="169">
        <v>68</v>
      </c>
      <c r="F114" s="170">
        <v>12.84</v>
      </c>
      <c r="G114" s="171" t="s">
        <v>33</v>
      </c>
      <c r="H114" s="126">
        <v>16.50101352027804</v>
      </c>
      <c r="I114" s="126">
        <v>30.56537737739502</v>
      </c>
      <c r="J114" s="119">
        <v>6712.227395725915</v>
      </c>
      <c r="K114" s="172">
        <v>4700</v>
      </c>
      <c r="L114" s="172">
        <v>5.483333333333333</v>
      </c>
      <c r="M114" s="170">
        <v>0.15</v>
      </c>
      <c r="N114" s="122">
        <v>39294.86379145347</v>
      </c>
      <c r="O114" s="122">
        <v>39295.09851367569</v>
      </c>
      <c r="P114" s="123">
        <v>1.83344594669756</v>
      </c>
      <c r="Q114" s="172">
        <v>9</v>
      </c>
      <c r="R114" s="130">
        <v>520.3643282173266</v>
      </c>
      <c r="S114" s="116">
        <v>21.681847009055275</v>
      </c>
      <c r="T114" s="172" t="s">
        <v>166</v>
      </c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  <c r="AF114" s="172"/>
      <c r="AG114" s="172"/>
      <c r="AH114" s="172"/>
      <c r="AI114" s="172"/>
      <c r="AJ114" s="172"/>
      <c r="AK114" s="172"/>
      <c r="AL114" s="172"/>
      <c r="AM114" s="172"/>
      <c r="AN114" s="172"/>
      <c r="AO114" s="172"/>
      <c r="AP114" s="172"/>
      <c r="AQ114" s="172"/>
      <c r="AR114" s="172"/>
      <c r="AS114" s="172"/>
    </row>
    <row r="115" spans="1:45" s="173" customFormat="1" ht="12">
      <c r="A115" s="168">
        <v>90</v>
      </c>
      <c r="B115" s="169">
        <v>37</v>
      </c>
      <c r="C115" s="170">
        <v>8.34</v>
      </c>
      <c r="D115" s="171" t="s">
        <v>32</v>
      </c>
      <c r="E115" s="169">
        <v>68</v>
      </c>
      <c r="F115" s="170">
        <v>3.6</v>
      </c>
      <c r="G115" s="171" t="s">
        <v>33</v>
      </c>
      <c r="H115" s="126">
        <v>16.222657414330204</v>
      </c>
      <c r="I115" s="126">
        <v>30.049769083810983</v>
      </c>
      <c r="J115" s="119">
        <v>6742.277164809726</v>
      </c>
      <c r="K115" s="172">
        <v>4900</v>
      </c>
      <c r="L115" s="172">
        <v>5.716666666666667</v>
      </c>
      <c r="M115" s="170">
        <v>0.15</v>
      </c>
      <c r="N115" s="122">
        <v>39295.17361857113</v>
      </c>
      <c r="O115" s="122">
        <v>39295.41806301557</v>
      </c>
      <c r="P115" s="123">
        <v>1.8025174904811339</v>
      </c>
      <c r="Q115" s="172">
        <v>9</v>
      </c>
      <c r="R115" s="130">
        <v>528.0335123744744</v>
      </c>
      <c r="S115" s="116">
        <v>22.001396348936435</v>
      </c>
      <c r="T115" s="172" t="s">
        <v>166</v>
      </c>
      <c r="V115" s="172"/>
      <c r="W115" s="172"/>
      <c r="X115" s="172"/>
      <c r="Y115" s="172"/>
      <c r="Z115" s="172"/>
      <c r="AA115" s="172"/>
      <c r="AB115" s="172"/>
      <c r="AC115" s="172"/>
      <c r="AD115" s="172"/>
      <c r="AE115" s="172"/>
      <c r="AF115" s="172"/>
      <c r="AG115" s="172"/>
      <c r="AH115" s="172"/>
      <c r="AI115" s="172"/>
      <c r="AJ115" s="172"/>
      <c r="AK115" s="172"/>
      <c r="AL115" s="172"/>
      <c r="AM115" s="172"/>
      <c r="AN115" s="172"/>
      <c r="AO115" s="172"/>
      <c r="AP115" s="172"/>
      <c r="AQ115" s="172"/>
      <c r="AR115" s="172"/>
      <c r="AS115" s="172"/>
    </row>
    <row r="116" spans="1:45" s="173" customFormat="1" ht="12">
      <c r="A116" s="168">
        <v>91</v>
      </c>
      <c r="B116" s="169">
        <v>36</v>
      </c>
      <c r="C116" s="170">
        <v>53.88</v>
      </c>
      <c r="D116" s="171" t="s">
        <v>32</v>
      </c>
      <c r="E116" s="169">
        <v>67</v>
      </c>
      <c r="F116" s="170">
        <v>53.94</v>
      </c>
      <c r="G116" s="171" t="s">
        <v>33</v>
      </c>
      <c r="H116" s="126">
        <v>16.38843541435141</v>
      </c>
      <c r="I116" s="126">
        <v>30.356845199183592</v>
      </c>
      <c r="J116" s="119">
        <v>6772.634010008909</v>
      </c>
      <c r="K116" s="172">
        <v>4950</v>
      </c>
      <c r="L116" s="172">
        <v>5.775</v>
      </c>
      <c r="M116" s="170">
        <v>0.15</v>
      </c>
      <c r="N116" s="122">
        <v>39295.49393540175</v>
      </c>
      <c r="O116" s="122">
        <v>39295.740810401745</v>
      </c>
      <c r="P116" s="123">
        <v>1.8209372682612677</v>
      </c>
      <c r="Q116" s="172">
        <v>9</v>
      </c>
      <c r="R116" s="130">
        <v>535.7794496427356</v>
      </c>
      <c r="S116" s="116">
        <v>22.32414373511398</v>
      </c>
      <c r="T116" s="172" t="s">
        <v>166</v>
      </c>
      <c r="V116" s="172"/>
      <c r="W116" s="172"/>
      <c r="X116" s="172"/>
      <c r="Y116" s="172"/>
      <c r="Z116" s="172"/>
      <c r="AA116" s="172"/>
      <c r="AB116" s="172"/>
      <c r="AC116" s="172"/>
      <c r="AD116" s="172"/>
      <c r="AE116" s="172"/>
      <c r="AF116" s="172"/>
      <c r="AG116" s="172"/>
      <c r="AH116" s="172"/>
      <c r="AI116" s="172"/>
      <c r="AJ116" s="172"/>
      <c r="AK116" s="172"/>
      <c r="AL116" s="172"/>
      <c r="AM116" s="172"/>
      <c r="AN116" s="172"/>
      <c r="AO116" s="172"/>
      <c r="AP116" s="172"/>
      <c r="AQ116" s="172"/>
      <c r="AR116" s="172"/>
      <c r="AS116" s="172"/>
    </row>
    <row r="117" spans="1:45" s="173" customFormat="1" ht="12">
      <c r="A117" s="168">
        <v>92</v>
      </c>
      <c r="B117" s="169">
        <v>36</v>
      </c>
      <c r="C117" s="170">
        <v>39.48</v>
      </c>
      <c r="D117" s="171" t="s">
        <v>32</v>
      </c>
      <c r="E117" s="169">
        <v>67</v>
      </c>
      <c r="F117" s="170">
        <v>44.4</v>
      </c>
      <c r="G117" s="171" t="s">
        <v>33</v>
      </c>
      <c r="H117" s="126">
        <v>16.301756110987796</v>
      </c>
      <c r="I117" s="126">
        <v>30.196286236253062</v>
      </c>
      <c r="J117" s="119">
        <v>6802.830296245163</v>
      </c>
      <c r="K117" s="172">
        <v>4950</v>
      </c>
      <c r="L117" s="172">
        <v>5.775</v>
      </c>
      <c r="M117" s="170">
        <v>0.15</v>
      </c>
      <c r="N117" s="122">
        <v>39295.81628149485</v>
      </c>
      <c r="O117" s="122">
        <v>39296.06315649485</v>
      </c>
      <c r="P117" s="123">
        <v>1.8113062345541995</v>
      </c>
      <c r="Q117" s="172">
        <v>9</v>
      </c>
      <c r="R117" s="130">
        <v>543.5157558772897</v>
      </c>
      <c r="S117" s="116">
        <v>22.646489828220407</v>
      </c>
      <c r="T117" s="172" t="s">
        <v>167</v>
      </c>
      <c r="V117" s="172"/>
      <c r="W117" s="172"/>
      <c r="X117" s="172"/>
      <c r="Y117" s="172"/>
      <c r="Z117" s="172"/>
      <c r="AA117" s="172"/>
      <c r="AB117" s="172"/>
      <c r="AC117" s="172"/>
      <c r="AD117" s="172"/>
      <c r="AE117" s="172"/>
      <c r="AF117" s="172"/>
      <c r="AG117" s="172"/>
      <c r="AH117" s="172"/>
      <c r="AI117" s="172"/>
      <c r="AJ117" s="172"/>
      <c r="AK117" s="172"/>
      <c r="AL117" s="172"/>
      <c r="AM117" s="172"/>
      <c r="AN117" s="172"/>
      <c r="AO117" s="172"/>
      <c r="AP117" s="172"/>
      <c r="AQ117" s="172"/>
      <c r="AR117" s="172"/>
      <c r="AS117" s="172"/>
    </row>
    <row r="118" spans="1:45" s="5" customFormat="1" ht="12">
      <c r="A118" s="132" t="s">
        <v>37</v>
      </c>
      <c r="B118" s="125">
        <v>40</v>
      </c>
      <c r="C118" s="134">
        <v>30.14</v>
      </c>
      <c r="D118" s="126" t="s">
        <v>32</v>
      </c>
      <c r="E118" s="125">
        <v>69</v>
      </c>
      <c r="F118" s="134">
        <v>14.85</v>
      </c>
      <c r="G118" s="126" t="s">
        <v>33</v>
      </c>
      <c r="H118" s="126">
        <v>241.24281270747548</v>
      </c>
      <c r="I118" s="126">
        <v>446.86210340514714</v>
      </c>
      <c r="J118" s="119">
        <v>7249.69239965031</v>
      </c>
      <c r="K118" s="116">
        <v>740</v>
      </c>
      <c r="L118" s="116">
        <v>0.8633333333333334</v>
      </c>
      <c r="M118" s="134">
        <v>0.15</v>
      </c>
      <c r="N118" s="122">
        <v>39296.900805150086</v>
      </c>
      <c r="O118" s="122">
        <v>39296.943027372305</v>
      </c>
      <c r="P118" s="123">
        <v>20.103567725622955</v>
      </c>
      <c r="Q118" s="116">
        <v>12</v>
      </c>
      <c r="R118" s="130">
        <v>564.632656936246</v>
      </c>
      <c r="S118" s="116">
        <v>23.526360705676918</v>
      </c>
      <c r="T118" s="116" t="s">
        <v>167</v>
      </c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</row>
    <row r="119" spans="1:45" s="167" customFormat="1" ht="12">
      <c r="A119" s="162">
        <v>93</v>
      </c>
      <c r="B119" s="163">
        <v>40</v>
      </c>
      <c r="C119" s="164">
        <v>30.14</v>
      </c>
      <c r="D119" s="165" t="s">
        <v>32</v>
      </c>
      <c r="E119" s="163">
        <v>69</v>
      </c>
      <c r="F119" s="164">
        <v>14.85</v>
      </c>
      <c r="G119" s="165" t="s">
        <v>33</v>
      </c>
      <c r="H119" s="126">
        <v>0</v>
      </c>
      <c r="I119" s="126">
        <v>0</v>
      </c>
      <c r="J119" s="119">
        <v>7249.69239965031</v>
      </c>
      <c r="K119" s="166">
        <v>66</v>
      </c>
      <c r="L119" s="166">
        <v>0.11</v>
      </c>
      <c r="M119" s="164">
        <v>0.65</v>
      </c>
      <c r="N119" s="122">
        <v>39296.943027372305</v>
      </c>
      <c r="O119" s="122">
        <v>39296.974694038974</v>
      </c>
      <c r="P119" s="123">
        <v>0</v>
      </c>
      <c r="Q119" s="166">
        <v>9</v>
      </c>
      <c r="R119" s="130">
        <v>565.392656936246</v>
      </c>
      <c r="S119" s="116">
        <v>23.558027372343584</v>
      </c>
      <c r="T119" s="166" t="s">
        <v>167</v>
      </c>
      <c r="V119" s="166"/>
      <c r="W119" s="166"/>
      <c r="X119" s="166"/>
      <c r="Y119" s="166"/>
      <c r="Z119" s="166"/>
      <c r="AA119" s="166"/>
      <c r="AB119" s="166"/>
      <c r="AC119" s="166"/>
      <c r="AD119" s="166"/>
      <c r="AE119" s="166"/>
      <c r="AF119" s="166"/>
      <c r="AG119" s="166"/>
      <c r="AH119" s="166"/>
      <c r="AI119" s="166"/>
      <c r="AJ119" s="166"/>
      <c r="AK119" s="166"/>
      <c r="AL119" s="166"/>
      <c r="AM119" s="166"/>
      <c r="AN119" s="166"/>
      <c r="AO119" s="166"/>
      <c r="AP119" s="166"/>
      <c r="AQ119" s="166"/>
      <c r="AR119" s="166"/>
      <c r="AS119" s="166"/>
    </row>
    <row r="120" spans="1:45" s="167" customFormat="1" ht="12">
      <c r="A120" s="162">
        <v>94</v>
      </c>
      <c r="B120" s="163">
        <v>40</v>
      </c>
      <c r="C120" s="164">
        <v>48.93</v>
      </c>
      <c r="D120" s="165" t="s">
        <v>32</v>
      </c>
      <c r="E120" s="163">
        <v>69</v>
      </c>
      <c r="F120" s="164">
        <v>0.59</v>
      </c>
      <c r="G120" s="165" t="s">
        <v>33</v>
      </c>
      <c r="H120" s="126">
        <v>21.68144073715952</v>
      </c>
      <c r="I120" s="126">
        <v>40.161255392131814</v>
      </c>
      <c r="J120" s="119">
        <v>7289.853655042442</v>
      </c>
      <c r="K120" s="166">
        <v>73</v>
      </c>
      <c r="L120" s="166">
        <v>0.12166666666666666</v>
      </c>
      <c r="M120" s="164">
        <v>0.65</v>
      </c>
      <c r="N120" s="122">
        <v>39297.075071079424</v>
      </c>
      <c r="O120" s="122">
        <v>39297.1072238572</v>
      </c>
      <c r="P120" s="123">
        <v>2.409048970795502</v>
      </c>
      <c r="Q120" s="166">
        <v>9</v>
      </c>
      <c r="R120" s="130">
        <v>568.5733725737082</v>
      </c>
      <c r="S120" s="116">
        <v>23.690557190571173</v>
      </c>
      <c r="T120" s="166" t="s">
        <v>168</v>
      </c>
      <c r="V120" s="166"/>
      <c r="W120" s="166"/>
      <c r="X120" s="166"/>
      <c r="Y120" s="166"/>
      <c r="Z120" s="166"/>
      <c r="AA120" s="166"/>
      <c r="AB120" s="166"/>
      <c r="AC120" s="166"/>
      <c r="AD120" s="166"/>
      <c r="AE120" s="166"/>
      <c r="AF120" s="166"/>
      <c r="AG120" s="166"/>
      <c r="AH120" s="166"/>
      <c r="AI120" s="166"/>
      <c r="AJ120" s="166"/>
      <c r="AK120" s="166"/>
      <c r="AL120" s="166"/>
      <c r="AM120" s="166"/>
      <c r="AN120" s="166"/>
      <c r="AO120" s="166"/>
      <c r="AP120" s="166"/>
      <c r="AQ120" s="166"/>
      <c r="AR120" s="166"/>
      <c r="AS120" s="166"/>
    </row>
    <row r="121" spans="1:45" s="167" customFormat="1" ht="12">
      <c r="A121" s="162">
        <v>95</v>
      </c>
      <c r="B121" s="163">
        <v>41</v>
      </c>
      <c r="C121" s="164">
        <v>4.82</v>
      </c>
      <c r="D121" s="165" t="s">
        <v>32</v>
      </c>
      <c r="E121" s="163">
        <v>68</v>
      </c>
      <c r="F121" s="164">
        <v>52.32</v>
      </c>
      <c r="G121" s="165" t="s">
        <v>33</v>
      </c>
      <c r="H121" s="126">
        <v>17.073637559013132</v>
      </c>
      <c r="I121" s="126">
        <v>31.62606797181199</v>
      </c>
      <c r="J121" s="119">
        <v>7321.479723014254</v>
      </c>
      <c r="K121" s="166">
        <v>58</v>
      </c>
      <c r="L121" s="166">
        <v>0.09666666666666666</v>
      </c>
      <c r="M121" s="164">
        <v>0.65</v>
      </c>
      <c r="N121" s="122">
        <v>39297.18626847553</v>
      </c>
      <c r="O121" s="122">
        <v>39297.21737958664</v>
      </c>
      <c r="P121" s="123">
        <v>1.897070839890348</v>
      </c>
      <c r="Q121" s="166">
        <v>9</v>
      </c>
      <c r="R121" s="130">
        <v>571.2171100802652</v>
      </c>
      <c r="S121" s="116">
        <v>23.80071292001105</v>
      </c>
      <c r="T121" s="166" t="s">
        <v>168</v>
      </c>
      <c r="V121" s="166"/>
      <c r="W121" s="166"/>
      <c r="X121" s="166"/>
      <c r="Y121" s="166"/>
      <c r="Z121" s="166"/>
      <c r="AA121" s="166"/>
      <c r="AB121" s="166"/>
      <c r="AC121" s="166"/>
      <c r="AD121" s="166"/>
      <c r="AE121" s="166"/>
      <c r="AF121" s="166"/>
      <c r="AG121" s="166"/>
      <c r="AH121" s="166"/>
      <c r="AI121" s="166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6"/>
    </row>
    <row r="122" spans="1:45" s="167" customFormat="1" ht="12">
      <c r="A122" s="162">
        <v>96</v>
      </c>
      <c r="B122" s="163">
        <v>41</v>
      </c>
      <c r="C122" s="164">
        <v>37.57</v>
      </c>
      <c r="D122" s="165" t="s">
        <v>32</v>
      </c>
      <c r="E122" s="163">
        <v>68</v>
      </c>
      <c r="F122" s="164">
        <v>46.94</v>
      </c>
      <c r="G122" s="165" t="s">
        <v>33</v>
      </c>
      <c r="H122" s="126">
        <v>32.99805394906285</v>
      </c>
      <c r="I122" s="126">
        <v>61.12339526498076</v>
      </c>
      <c r="J122" s="119">
        <v>7382.603118279235</v>
      </c>
      <c r="K122" s="166">
        <v>146</v>
      </c>
      <c r="L122" s="166">
        <v>0.24333333333333332</v>
      </c>
      <c r="M122" s="164">
        <v>0.65</v>
      </c>
      <c r="N122" s="122">
        <v>39297.37014835492</v>
      </c>
      <c r="O122" s="122">
        <v>39297.407370577144</v>
      </c>
      <c r="P122" s="123">
        <v>3.666450438784761</v>
      </c>
      <c r="Q122" s="166">
        <v>9</v>
      </c>
      <c r="R122" s="130">
        <v>575.7768938523833</v>
      </c>
      <c r="S122" s="116">
        <v>23.990703910515972</v>
      </c>
      <c r="T122" s="166" t="s">
        <v>168</v>
      </c>
      <c r="V122" s="166"/>
      <c r="W122" s="166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/>
      <c r="AH122" s="166"/>
      <c r="AI122" s="166"/>
      <c r="AJ122" s="166"/>
      <c r="AK122" s="166"/>
      <c r="AL122" s="166"/>
      <c r="AM122" s="166"/>
      <c r="AN122" s="166"/>
      <c r="AO122" s="166"/>
      <c r="AP122" s="166"/>
      <c r="AQ122" s="166"/>
      <c r="AR122" s="166"/>
      <c r="AS122" s="166"/>
    </row>
    <row r="123" spans="1:45" s="167" customFormat="1" ht="12">
      <c r="A123" s="162">
        <v>97</v>
      </c>
      <c r="B123" s="163">
        <v>42</v>
      </c>
      <c r="C123" s="164">
        <v>28.72</v>
      </c>
      <c r="D123" s="165" t="s">
        <v>32</v>
      </c>
      <c r="E123" s="163">
        <v>69</v>
      </c>
      <c r="F123" s="164">
        <v>0.42</v>
      </c>
      <c r="G123" s="165" t="s">
        <v>33</v>
      </c>
      <c r="H123" s="126">
        <v>52.12008149234127</v>
      </c>
      <c r="I123" s="126">
        <v>96.54376428431348</v>
      </c>
      <c r="J123" s="119">
        <v>7479.146882563548</v>
      </c>
      <c r="K123" s="166">
        <v>194</v>
      </c>
      <c r="L123" s="166">
        <v>0.3233333333333333</v>
      </c>
      <c r="M123" s="164">
        <v>0.65</v>
      </c>
      <c r="N123" s="122">
        <v>39297.64866725072</v>
      </c>
      <c r="O123" s="122">
        <v>39297.68922280628</v>
      </c>
      <c r="P123" s="123">
        <v>5.7911201658156966</v>
      </c>
      <c r="Q123" s="166">
        <v>9</v>
      </c>
      <c r="R123" s="130">
        <v>582.5413473515323</v>
      </c>
      <c r="S123" s="116">
        <v>24.27255613964718</v>
      </c>
      <c r="T123" s="166" t="s">
        <v>168</v>
      </c>
      <c r="V123" s="166"/>
      <c r="W123" s="166"/>
      <c r="X123" s="166"/>
      <c r="Y123" s="166"/>
      <c r="Z123" s="166"/>
      <c r="AA123" s="166"/>
      <c r="AB123" s="166"/>
      <c r="AC123" s="166"/>
      <c r="AD123" s="166"/>
      <c r="AE123" s="166"/>
      <c r="AF123" s="166"/>
      <c r="AG123" s="166"/>
      <c r="AH123" s="166"/>
      <c r="AI123" s="166"/>
      <c r="AJ123" s="166"/>
      <c r="AK123" s="166"/>
      <c r="AL123" s="166"/>
      <c r="AM123" s="166"/>
      <c r="AN123" s="166"/>
      <c r="AO123" s="166"/>
      <c r="AP123" s="166"/>
      <c r="AQ123" s="166"/>
      <c r="AR123" s="166"/>
      <c r="AS123" s="166"/>
    </row>
    <row r="124" spans="1:45" s="167" customFormat="1" ht="12">
      <c r="A124" s="162">
        <v>98</v>
      </c>
      <c r="B124" s="163">
        <v>42</v>
      </c>
      <c r="C124" s="164">
        <v>43.73</v>
      </c>
      <c r="D124" s="165" t="s">
        <v>32</v>
      </c>
      <c r="E124" s="163">
        <v>69</v>
      </c>
      <c r="F124" s="164">
        <v>41.09</v>
      </c>
      <c r="G124" s="165" t="s">
        <v>33</v>
      </c>
      <c r="H124" s="126">
        <v>33.48746734248731</v>
      </c>
      <c r="I124" s="126">
        <v>62.02995200740065</v>
      </c>
      <c r="J124" s="119">
        <v>7541.176834570949</v>
      </c>
      <c r="K124" s="166">
        <v>238</v>
      </c>
      <c r="L124" s="166">
        <v>0.2776666666666667</v>
      </c>
      <c r="M124" s="164">
        <v>0.65</v>
      </c>
      <c r="N124" s="122">
        <v>39297.844257377306</v>
      </c>
      <c r="O124" s="122">
        <v>39297.88291015509</v>
      </c>
      <c r="P124" s="123">
        <v>3.7208297047208116</v>
      </c>
      <c r="Q124" s="166">
        <v>9</v>
      </c>
      <c r="R124" s="130">
        <v>587.1898437229197</v>
      </c>
      <c r="S124" s="116">
        <v>24.46624348845499</v>
      </c>
      <c r="T124" s="166" t="s">
        <v>168</v>
      </c>
      <c r="V124" s="166"/>
      <c r="W124" s="166"/>
      <c r="X124" s="166"/>
      <c r="Y124" s="166"/>
      <c r="Z124" s="166"/>
      <c r="AA124" s="166"/>
      <c r="AB124" s="166"/>
      <c r="AC124" s="166"/>
      <c r="AD124" s="166"/>
      <c r="AE124" s="166"/>
      <c r="AF124" s="166"/>
      <c r="AG124" s="166"/>
      <c r="AH124" s="166"/>
      <c r="AI124" s="166"/>
      <c r="AJ124" s="166"/>
      <c r="AK124" s="166"/>
      <c r="AL124" s="166"/>
      <c r="AM124" s="166"/>
      <c r="AN124" s="166"/>
      <c r="AO124" s="166"/>
      <c r="AP124" s="166"/>
      <c r="AQ124" s="166"/>
      <c r="AR124" s="166"/>
      <c r="AS124" s="166"/>
    </row>
    <row r="125" spans="1:45" s="167" customFormat="1" ht="12">
      <c r="A125" s="162">
        <v>99</v>
      </c>
      <c r="B125" s="163">
        <v>42</v>
      </c>
      <c r="C125" s="164">
        <v>51.68</v>
      </c>
      <c r="D125" s="165" t="s">
        <v>32</v>
      </c>
      <c r="E125" s="163">
        <v>69</v>
      </c>
      <c r="F125" s="164">
        <v>51.68</v>
      </c>
      <c r="G125" s="165" t="s">
        <v>33</v>
      </c>
      <c r="H125" s="126">
        <v>11.117012804269265</v>
      </c>
      <c r="I125" s="126">
        <v>20.592413384441436</v>
      </c>
      <c r="J125" s="119">
        <v>7561.76924795539</v>
      </c>
      <c r="K125" s="166">
        <v>238</v>
      </c>
      <c r="L125" s="166">
        <v>0.2776666666666667</v>
      </c>
      <c r="M125" s="164">
        <v>0.75</v>
      </c>
      <c r="N125" s="122">
        <v>39297.93437780696</v>
      </c>
      <c r="O125" s="122">
        <v>39297.977197251406</v>
      </c>
      <c r="P125" s="123">
        <v>1.2352236449188072</v>
      </c>
      <c r="Q125" s="166">
        <v>9</v>
      </c>
      <c r="R125" s="130">
        <v>589.4527340345052</v>
      </c>
      <c r="S125" s="116">
        <v>24.560530584771048</v>
      </c>
      <c r="T125" s="166" t="s">
        <v>168</v>
      </c>
      <c r="V125" s="166"/>
      <c r="W125" s="166"/>
      <c r="X125" s="166"/>
      <c r="Y125" s="166"/>
      <c r="Z125" s="166"/>
      <c r="AA125" s="166"/>
      <c r="AB125" s="166"/>
      <c r="AC125" s="166"/>
      <c r="AD125" s="166"/>
      <c r="AE125" s="166"/>
      <c r="AF125" s="166"/>
      <c r="AG125" s="166"/>
      <c r="AH125" s="166"/>
      <c r="AI125" s="166"/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6"/>
    </row>
    <row r="126" spans="1:45" s="167" customFormat="1" ht="12">
      <c r="A126" s="162">
        <v>100</v>
      </c>
      <c r="B126" s="163">
        <v>42</v>
      </c>
      <c r="C126" s="164">
        <v>53.34</v>
      </c>
      <c r="D126" s="165" t="s">
        <v>32</v>
      </c>
      <c r="E126" s="163">
        <v>70</v>
      </c>
      <c r="F126" s="164">
        <v>8.48</v>
      </c>
      <c r="G126" s="165" t="s">
        <v>33</v>
      </c>
      <c r="H126" s="126">
        <v>12.423076155766513</v>
      </c>
      <c r="I126" s="126">
        <v>23.011678065864835</v>
      </c>
      <c r="J126" s="119">
        <v>7584.780926021254</v>
      </c>
      <c r="K126" s="166">
        <v>51</v>
      </c>
      <c r="L126" s="166">
        <v>0.085</v>
      </c>
      <c r="M126" s="164">
        <v>0.65</v>
      </c>
      <c r="N126" s="122">
        <v>39298.034711492866</v>
      </c>
      <c r="O126" s="122">
        <v>39298.065336492866</v>
      </c>
      <c r="P126" s="123">
        <v>1.380341795085168</v>
      </c>
      <c r="Q126" s="166">
        <v>9</v>
      </c>
      <c r="R126" s="130">
        <v>591.5680758295904</v>
      </c>
      <c r="S126" s="116">
        <v>24.648669826232933</v>
      </c>
      <c r="T126" s="166" t="s">
        <v>169</v>
      </c>
      <c r="V126" s="166"/>
      <c r="W126" s="166"/>
      <c r="X126" s="166"/>
      <c r="Y126" s="166"/>
      <c r="Z126" s="166"/>
      <c r="AA126" s="166"/>
      <c r="AB126" s="166"/>
      <c r="AC126" s="166"/>
      <c r="AD126" s="166"/>
      <c r="AE126" s="166"/>
      <c r="AF126" s="166"/>
      <c r="AG126" s="166"/>
      <c r="AH126" s="166"/>
      <c r="AI126" s="166"/>
      <c r="AJ126" s="166"/>
      <c r="AK126" s="166"/>
      <c r="AL126" s="166"/>
      <c r="AM126" s="166"/>
      <c r="AN126" s="166"/>
      <c r="AO126" s="166"/>
      <c r="AP126" s="166"/>
      <c r="AQ126" s="166"/>
      <c r="AR126" s="166"/>
      <c r="AS126" s="166"/>
    </row>
    <row r="127" spans="1:45" s="167" customFormat="1" ht="12">
      <c r="A127" s="162">
        <v>101</v>
      </c>
      <c r="B127" s="163">
        <v>42</v>
      </c>
      <c r="C127" s="164">
        <v>56.38</v>
      </c>
      <c r="D127" s="165" t="s">
        <v>32</v>
      </c>
      <c r="E127" s="163">
        <v>70</v>
      </c>
      <c r="F127" s="164">
        <v>17.63</v>
      </c>
      <c r="G127" s="165" t="s">
        <v>33</v>
      </c>
      <c r="H127" s="126">
        <v>7.3585175947453685</v>
      </c>
      <c r="I127" s="126">
        <v>13.63042742466667</v>
      </c>
      <c r="J127" s="119">
        <v>7598.411353445921</v>
      </c>
      <c r="K127" s="166">
        <v>112</v>
      </c>
      <c r="L127" s="166">
        <v>0.18666666666666665</v>
      </c>
      <c r="M127" s="164">
        <v>1.2</v>
      </c>
      <c r="N127" s="122">
        <v>39298.09940370395</v>
      </c>
      <c r="O127" s="122">
        <v>39298.15718148173</v>
      </c>
      <c r="P127" s="123">
        <v>0.8176130660828187</v>
      </c>
      <c r="Q127" s="166">
        <v>9</v>
      </c>
      <c r="R127" s="130">
        <v>593.7723555623398</v>
      </c>
      <c r="S127" s="116">
        <v>24.740514815097495</v>
      </c>
      <c r="T127" s="166" t="s">
        <v>169</v>
      </c>
      <c r="V127" s="166"/>
      <c r="W127" s="166"/>
      <c r="X127" s="166"/>
      <c r="Y127" s="166"/>
      <c r="Z127" s="166"/>
      <c r="AA127" s="166"/>
      <c r="AB127" s="166"/>
      <c r="AC127" s="166"/>
      <c r="AD127" s="166"/>
      <c r="AE127" s="166"/>
      <c r="AF127" s="166"/>
      <c r="AG127" s="166"/>
      <c r="AH127" s="166"/>
      <c r="AI127" s="166"/>
      <c r="AJ127" s="166"/>
      <c r="AK127" s="166"/>
      <c r="AL127" s="166"/>
      <c r="AM127" s="166"/>
      <c r="AN127" s="166"/>
      <c r="AO127" s="166"/>
      <c r="AP127" s="166"/>
      <c r="AQ127" s="166"/>
      <c r="AR127" s="166"/>
      <c r="AS127" s="166"/>
    </row>
    <row r="128" spans="1:45" s="167" customFormat="1" ht="12">
      <c r="A128" s="162">
        <v>102</v>
      </c>
      <c r="B128" s="163">
        <v>42</v>
      </c>
      <c r="C128" s="164">
        <v>59.64</v>
      </c>
      <c r="D128" s="165" t="s">
        <v>32</v>
      </c>
      <c r="E128" s="163">
        <v>70</v>
      </c>
      <c r="F128" s="164">
        <v>25.32</v>
      </c>
      <c r="G128" s="165" t="s">
        <v>33</v>
      </c>
      <c r="H128" s="126">
        <v>6.5032565235077</v>
      </c>
      <c r="I128" s="126">
        <v>12.046198833710763</v>
      </c>
      <c r="J128" s="119">
        <v>7610.457552279632</v>
      </c>
      <c r="K128" s="166">
        <v>97</v>
      </c>
      <c r="L128" s="166">
        <v>0.16166666666666665</v>
      </c>
      <c r="M128" s="164">
        <v>1.3</v>
      </c>
      <c r="N128" s="122">
        <v>39298.18728915082</v>
      </c>
      <c r="O128" s="122">
        <v>39298.24819192859</v>
      </c>
      <c r="P128" s="123">
        <v>0.7225840581675222</v>
      </c>
      <c r="Q128" s="166">
        <v>9</v>
      </c>
      <c r="R128" s="130">
        <v>595.9566062871739</v>
      </c>
      <c r="S128" s="116">
        <v>24.83152526196558</v>
      </c>
      <c r="T128" s="166" t="s">
        <v>169</v>
      </c>
      <c r="V128" s="166"/>
      <c r="W128" s="166"/>
      <c r="X128" s="166"/>
      <c r="Y128" s="166"/>
      <c r="Z128" s="166"/>
      <c r="AA128" s="166"/>
      <c r="AB128" s="166"/>
      <c r="AC128" s="166"/>
      <c r="AD128" s="166"/>
      <c r="AE128" s="166"/>
      <c r="AF128" s="166"/>
      <c r="AG128" s="166"/>
      <c r="AH128" s="166"/>
      <c r="AI128" s="166"/>
      <c r="AJ128" s="166"/>
      <c r="AK128" s="166"/>
      <c r="AL128" s="166"/>
      <c r="AM128" s="166"/>
      <c r="AN128" s="166"/>
      <c r="AO128" s="166"/>
      <c r="AP128" s="166"/>
      <c r="AQ128" s="166"/>
      <c r="AR128" s="166"/>
      <c r="AS128" s="166"/>
    </row>
    <row r="129" spans="1:45" s="167" customFormat="1" ht="12">
      <c r="A129" s="162">
        <v>103</v>
      </c>
      <c r="B129" s="163">
        <v>43</v>
      </c>
      <c r="C129" s="164">
        <v>1.86</v>
      </c>
      <c r="D129" s="165" t="s">
        <v>32</v>
      </c>
      <c r="E129" s="163">
        <v>70</v>
      </c>
      <c r="F129" s="164">
        <v>33.6</v>
      </c>
      <c r="G129" s="165" t="s">
        <v>33</v>
      </c>
      <c r="H129" s="126">
        <v>6.448555059404993</v>
      </c>
      <c r="I129" s="126">
        <v>11.944873488371181</v>
      </c>
      <c r="J129" s="119">
        <v>7622.402425768003</v>
      </c>
      <c r="K129" s="166">
        <v>25</v>
      </c>
      <c r="L129" s="166">
        <v>0.041666666666666664</v>
      </c>
      <c r="M129" s="164">
        <v>1.3</v>
      </c>
      <c r="N129" s="122">
        <v>39298.27804635016</v>
      </c>
      <c r="O129" s="122">
        <v>39298.33394912794</v>
      </c>
      <c r="P129" s="123">
        <v>0.7165061177116658</v>
      </c>
      <c r="Q129" s="166">
        <v>9</v>
      </c>
      <c r="R129" s="130">
        <v>598.0147790715522</v>
      </c>
      <c r="S129" s="116">
        <v>24.917282461314674</v>
      </c>
      <c r="T129" s="166" t="s">
        <v>169</v>
      </c>
      <c r="V129" s="166"/>
      <c r="W129" s="166"/>
      <c r="X129" s="166"/>
      <c r="Y129" s="166"/>
      <c r="Z129" s="166"/>
      <c r="AA129" s="166"/>
      <c r="AB129" s="166"/>
      <c r="AC129" s="166"/>
      <c r="AD129" s="166"/>
      <c r="AE129" s="166"/>
      <c r="AF129" s="166"/>
      <c r="AG129" s="166"/>
      <c r="AH129" s="166"/>
      <c r="AI129" s="166"/>
      <c r="AJ129" s="166"/>
      <c r="AK129" s="166"/>
      <c r="AL129" s="166"/>
      <c r="AM129" s="166"/>
      <c r="AN129" s="166"/>
      <c r="AO129" s="166"/>
      <c r="AP129" s="166"/>
      <c r="AQ129" s="166"/>
      <c r="AR129" s="166"/>
      <c r="AS129" s="166"/>
    </row>
    <row r="130" spans="1:45" s="167" customFormat="1" ht="12">
      <c r="A130" s="162">
        <v>104</v>
      </c>
      <c r="B130" s="163">
        <v>43</v>
      </c>
      <c r="C130" s="164">
        <v>3.22</v>
      </c>
      <c r="D130" s="165" t="s">
        <v>32</v>
      </c>
      <c r="E130" s="163">
        <v>70</v>
      </c>
      <c r="F130" s="164">
        <v>39.53</v>
      </c>
      <c r="G130" s="165" t="s">
        <v>33</v>
      </c>
      <c r="H130" s="126">
        <v>4.542314037448627</v>
      </c>
      <c r="I130" s="126">
        <v>8.413879702034006</v>
      </c>
      <c r="J130" s="119">
        <v>7630.816305470037</v>
      </c>
      <c r="K130" s="166">
        <v>15</v>
      </c>
      <c r="L130" s="166">
        <v>0.025</v>
      </c>
      <c r="M130" s="164">
        <v>1.5</v>
      </c>
      <c r="N130" s="122">
        <v>39298.354978359595</v>
      </c>
      <c r="O130" s="122">
        <v>39298.418520026265</v>
      </c>
      <c r="P130" s="123">
        <v>0.5047015597165141</v>
      </c>
      <c r="Q130" s="166">
        <v>9</v>
      </c>
      <c r="R130" s="130">
        <v>600.0444806312687</v>
      </c>
      <c r="S130" s="116">
        <v>25.001853359636197</v>
      </c>
      <c r="T130" s="166" t="s">
        <v>169</v>
      </c>
      <c r="V130" s="166"/>
      <c r="W130" s="166"/>
      <c r="X130" s="166"/>
      <c r="Y130" s="166"/>
      <c r="Z130" s="166"/>
      <c r="AA130" s="166"/>
      <c r="AB130" s="166"/>
      <c r="AC130" s="166"/>
      <c r="AD130" s="166"/>
      <c r="AE130" s="166"/>
      <c r="AF130" s="166"/>
      <c r="AG130" s="166"/>
      <c r="AH130" s="166"/>
      <c r="AI130" s="166"/>
      <c r="AJ130" s="166"/>
      <c r="AK130" s="166"/>
      <c r="AL130" s="166"/>
      <c r="AM130" s="166"/>
      <c r="AN130" s="166"/>
      <c r="AO130" s="166"/>
      <c r="AP130" s="166"/>
      <c r="AQ130" s="166"/>
      <c r="AR130" s="166"/>
      <c r="AS130" s="166"/>
    </row>
    <row r="131" spans="1:45" s="5" customFormat="1" ht="12">
      <c r="A131" s="132" t="s">
        <v>171</v>
      </c>
      <c r="B131" s="125">
        <v>42</v>
      </c>
      <c r="C131" s="134">
        <v>20</v>
      </c>
      <c r="D131" s="126" t="s">
        <v>32</v>
      </c>
      <c r="E131" s="125">
        <v>71</v>
      </c>
      <c r="F131" s="134">
        <v>5</v>
      </c>
      <c r="G131" s="126" t="s">
        <v>33</v>
      </c>
      <c r="H131" s="126">
        <v>47.099877144439134</v>
      </c>
      <c r="I131" s="126">
        <v>87.24467243054941</v>
      </c>
      <c r="J131" s="119">
        <v>7718.060977900586</v>
      </c>
      <c r="K131" s="116">
        <v>0</v>
      </c>
      <c r="L131" s="116">
        <v>0</v>
      </c>
      <c r="M131" s="134">
        <v>0.15</v>
      </c>
      <c r="N131" s="122">
        <v>39298.58206126635</v>
      </c>
      <c r="O131" s="122">
        <v>39298.58831126635</v>
      </c>
      <c r="P131" s="123">
        <v>3.9249897620365943</v>
      </c>
      <c r="Q131" s="116">
        <v>12</v>
      </c>
      <c r="R131" s="130">
        <v>604.1194703933053</v>
      </c>
      <c r="S131" s="116">
        <v>25.171644599721052</v>
      </c>
      <c r="T131" s="116" t="s">
        <v>169</v>
      </c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</row>
    <row r="132" spans="1:45" ht="11.25">
      <c r="A132" s="116"/>
      <c r="B132" s="116"/>
      <c r="D132" s="116"/>
      <c r="E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</row>
    <row r="133" spans="1:45" ht="11.25">
      <c r="A133" s="116"/>
      <c r="B133" s="116"/>
      <c r="D133" s="116"/>
      <c r="E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</row>
    <row r="134" spans="1:45" ht="11.25">
      <c r="A134" s="116"/>
      <c r="B134" s="116"/>
      <c r="D134" s="116"/>
      <c r="E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</row>
    <row r="135" spans="1:45" ht="11.25">
      <c r="A135" s="116"/>
      <c r="B135" s="116"/>
      <c r="D135" s="116"/>
      <c r="E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</row>
    <row r="136" spans="1:45" ht="11.25">
      <c r="A136" s="116"/>
      <c r="B136" s="116"/>
      <c r="D136" s="116"/>
      <c r="E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</row>
    <row r="137" spans="1:45" ht="11.25">
      <c r="A137" s="116"/>
      <c r="B137" s="116"/>
      <c r="D137" s="116"/>
      <c r="E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</row>
    <row r="138" spans="1:45" ht="11.25">
      <c r="A138" s="116"/>
      <c r="B138" s="116"/>
      <c r="D138" s="116"/>
      <c r="E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</row>
    <row r="139" spans="1:45" ht="11.25">
      <c r="A139" s="116"/>
      <c r="B139" s="116"/>
      <c r="D139" s="116"/>
      <c r="E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</row>
    <row r="140" spans="1:45" ht="11.25">
      <c r="A140" s="116"/>
      <c r="B140" s="116"/>
      <c r="D140" s="116"/>
      <c r="E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</row>
    <row r="141" spans="1:45" ht="11.25">
      <c r="A141" s="116"/>
      <c r="B141" s="116"/>
      <c r="D141" s="116"/>
      <c r="E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</row>
    <row r="142" spans="1:45" ht="11.25">
      <c r="A142" s="116"/>
      <c r="B142" s="116"/>
      <c r="D142" s="116"/>
      <c r="E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</row>
    <row r="143" spans="1:45" ht="11.25">
      <c r="A143" s="116"/>
      <c r="B143" s="116"/>
      <c r="D143" s="116"/>
      <c r="E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</row>
    <row r="144" spans="1:45" ht="11.25">
      <c r="A144" s="116"/>
      <c r="B144" s="116"/>
      <c r="D144" s="116"/>
      <c r="E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</row>
    <row r="145" spans="1:45" ht="11.25">
      <c r="A145" s="116"/>
      <c r="B145" s="116"/>
      <c r="D145" s="116"/>
      <c r="E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</row>
    <row r="146" spans="1:45" ht="11.25">
      <c r="A146" s="116"/>
      <c r="B146" s="116"/>
      <c r="D146" s="116"/>
      <c r="E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</row>
    <row r="147" spans="1:45" ht="11.25">
      <c r="A147" s="116"/>
      <c r="B147" s="116"/>
      <c r="D147" s="116"/>
      <c r="E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</row>
    <row r="148" spans="1:45" ht="11.25">
      <c r="A148" s="116"/>
      <c r="B148" s="116"/>
      <c r="D148" s="116"/>
      <c r="E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</row>
    <row r="149" spans="1:45" ht="11.25">
      <c r="A149" s="116"/>
      <c r="B149" s="116"/>
      <c r="D149" s="116"/>
      <c r="E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</row>
    <row r="150" spans="1:45" ht="11.25">
      <c r="A150" s="116"/>
      <c r="B150" s="116"/>
      <c r="D150" s="116"/>
      <c r="E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</row>
    <row r="151" spans="1:45" ht="11.25">
      <c r="A151" s="116"/>
      <c r="B151" s="116"/>
      <c r="D151" s="116"/>
      <c r="E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</row>
    <row r="152" spans="1:45" ht="11.25">
      <c r="A152" s="116"/>
      <c r="B152" s="116"/>
      <c r="D152" s="116"/>
      <c r="E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</row>
    <row r="153" ht="11.25">
      <c r="K153" s="116"/>
    </row>
  </sheetData>
  <printOptions/>
  <pageMargins left="0.75" right="0.75" top="1" bottom="1" header="0.5" footer="0.5"/>
  <pageSetup horizontalDpi="1200" verticalDpi="12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S150"/>
  <sheetViews>
    <sheetView workbookViewId="0" topLeftCell="A1">
      <selection activeCell="V37" sqref="V37"/>
    </sheetView>
  </sheetViews>
  <sheetFormatPr defaultColWidth="9.00390625" defaultRowHeight="12"/>
  <cols>
    <col min="1" max="1" width="13.75390625" style="0" customWidth="1"/>
    <col min="2" max="3" width="4.875" style="0" bestFit="1" customWidth="1"/>
    <col min="4" max="4" width="2.00390625" style="0" customWidth="1"/>
    <col min="5" max="5" width="4.875" style="0" bestFit="1" customWidth="1"/>
    <col min="6" max="6" width="6.125" style="0" bestFit="1" customWidth="1"/>
    <col min="7" max="7" width="2.25390625" style="0" customWidth="1"/>
    <col min="8" max="9" width="5.75390625" style="0" bestFit="1" customWidth="1"/>
    <col min="10" max="10" width="6.375" style="0" bestFit="1" customWidth="1"/>
    <col min="11" max="11" width="7.125" style="0" bestFit="1" customWidth="1"/>
    <col min="12" max="12" width="4.00390625" style="0" bestFit="1" customWidth="1"/>
    <col min="13" max="13" width="4.875" style="0" bestFit="1" customWidth="1"/>
    <col min="14" max="15" width="10.375" style="0" bestFit="1" customWidth="1"/>
    <col min="16" max="16" width="7.75390625" style="0" bestFit="1" customWidth="1"/>
    <col min="17" max="17" width="5.25390625" style="0" bestFit="1" customWidth="1"/>
    <col min="18" max="18" width="5.75390625" style="0" bestFit="1" customWidth="1"/>
    <col min="19" max="21" width="5.375" style="0" bestFit="1" customWidth="1"/>
    <col min="22" max="22" width="18.375" style="0" bestFit="1" customWidth="1"/>
    <col min="23" max="16384" width="8.875" style="0" customWidth="1"/>
  </cols>
  <sheetData>
    <row r="1" spans="1:22" s="115" customFormat="1" ht="11.25">
      <c r="A1" s="114" t="s">
        <v>133</v>
      </c>
      <c r="C1" s="116" t="s">
        <v>134</v>
      </c>
      <c r="F1" s="116" t="s">
        <v>135</v>
      </c>
      <c r="H1" s="118" t="s">
        <v>136</v>
      </c>
      <c r="I1" s="118" t="s">
        <v>136</v>
      </c>
      <c r="J1" s="118" t="s">
        <v>137</v>
      </c>
      <c r="K1" s="119" t="s">
        <v>138</v>
      </c>
      <c r="L1" s="115" t="s">
        <v>139</v>
      </c>
      <c r="M1" s="120" t="s">
        <v>140</v>
      </c>
      <c r="N1" s="121" t="s">
        <v>141</v>
      </c>
      <c r="O1" s="122" t="s">
        <v>142</v>
      </c>
      <c r="P1" s="123" t="s">
        <v>143</v>
      </c>
      <c r="Q1" s="115" t="s">
        <v>144</v>
      </c>
      <c r="R1" s="115" t="s">
        <v>145</v>
      </c>
      <c r="S1" s="123" t="s">
        <v>145</v>
      </c>
      <c r="T1" s="123" t="s">
        <v>146</v>
      </c>
      <c r="U1" s="115" t="s">
        <v>147</v>
      </c>
      <c r="V1" s="115" t="s">
        <v>148</v>
      </c>
    </row>
    <row r="2" spans="1:21" s="115" customFormat="1" ht="11.25">
      <c r="A2" s="114" t="s">
        <v>149</v>
      </c>
      <c r="C2" s="116"/>
      <c r="F2" s="116"/>
      <c r="H2" s="118" t="s">
        <v>150</v>
      </c>
      <c r="I2" s="118" t="s">
        <v>151</v>
      </c>
      <c r="J2" s="118" t="s">
        <v>151</v>
      </c>
      <c r="K2" s="119" t="s">
        <v>152</v>
      </c>
      <c r="L2" s="115" t="s">
        <v>153</v>
      </c>
      <c r="M2" s="120" t="s">
        <v>153</v>
      </c>
      <c r="N2" s="121" t="s">
        <v>154</v>
      </c>
      <c r="O2" s="122" t="s">
        <v>155</v>
      </c>
      <c r="P2" s="123" t="s">
        <v>156</v>
      </c>
      <c r="Q2" s="115" t="s">
        <v>157</v>
      </c>
      <c r="R2" s="115" t="s">
        <v>158</v>
      </c>
      <c r="S2" s="123" t="s">
        <v>159</v>
      </c>
      <c r="T2" s="123" t="s">
        <v>160</v>
      </c>
      <c r="U2" s="115" t="s">
        <v>161</v>
      </c>
    </row>
    <row r="3" spans="1:20" s="115" customFormat="1" ht="11.25" customHeight="1">
      <c r="A3" s="114"/>
      <c r="C3" s="116"/>
      <c r="F3" s="116"/>
      <c r="H3" s="118"/>
      <c r="I3" s="118"/>
      <c r="J3" s="118"/>
      <c r="K3" s="119"/>
      <c r="M3" s="120"/>
      <c r="N3" s="122"/>
      <c r="O3" s="122"/>
      <c r="P3" s="123" t="s">
        <v>162</v>
      </c>
      <c r="S3" s="123"/>
      <c r="T3" s="123"/>
    </row>
    <row r="4" spans="1:20" s="115" customFormat="1" ht="11.25" customHeight="1">
      <c r="A4" s="114"/>
      <c r="C4" s="116"/>
      <c r="F4" s="116"/>
      <c r="H4" s="118"/>
      <c r="I4" s="118"/>
      <c r="J4" s="118"/>
      <c r="K4" s="119"/>
      <c r="M4" s="120"/>
      <c r="N4" s="122"/>
      <c r="O4" s="122"/>
      <c r="P4" s="123"/>
      <c r="S4" s="123"/>
      <c r="T4" s="123"/>
    </row>
    <row r="5" spans="1:45" s="5" customFormat="1" ht="12">
      <c r="A5" s="132" t="s">
        <v>37</v>
      </c>
      <c r="B5" s="125">
        <v>40</v>
      </c>
      <c r="C5" s="134">
        <v>17</v>
      </c>
      <c r="D5" s="126" t="s">
        <v>32</v>
      </c>
      <c r="E5" s="125">
        <v>70</v>
      </c>
      <c r="F5" s="134">
        <v>10.7</v>
      </c>
      <c r="G5" s="126" t="s">
        <v>33</v>
      </c>
      <c r="H5" s="126">
        <f>ACOS((COS(PI()/180*(90-(B3+C3/60)))*COS(PI()/180*(90-(B5+C5/60))))+(SIN(PI()/180*(90-(B3+C3/60)))*SIN(PI()/180*(90-(B5+C5/60)))*COS(ABS(PI()/180*((E3+(F3/60))-(E5+(F5/60)))))))*180/PI()*60</f>
        <v>4500.495534440783</v>
      </c>
      <c r="I5" s="126">
        <f aca="true" t="shared" si="0" ref="I5:I85">H5*111.14/60</f>
        <v>8336.417894962477</v>
      </c>
      <c r="J5" s="119">
        <f>J3+I5</f>
        <v>8336.417894962477</v>
      </c>
      <c r="K5" s="116">
        <v>0</v>
      </c>
      <c r="L5" s="116">
        <f>K5/50/60+K5/20/60</f>
        <v>0</v>
      </c>
      <c r="M5" s="134">
        <v>0</v>
      </c>
      <c r="N5" s="122">
        <f>O3+P5/24</f>
        <v>15.62672060569716</v>
      </c>
      <c r="O5" s="122">
        <f>N5+(L5+M5)/24</f>
        <v>15.62672060569716</v>
      </c>
      <c r="P5" s="123">
        <f>H5/Q5</f>
        <v>375.04129453673187</v>
      </c>
      <c r="Q5" s="116">
        <v>12</v>
      </c>
      <c r="R5" s="130">
        <f>R3+P5+L5+M5</f>
        <v>375.04129453673187</v>
      </c>
      <c r="S5" s="116">
        <f aca="true" t="shared" si="1" ref="S5:S85">R5/24</f>
        <v>15.62672060569716</v>
      </c>
      <c r="T5" s="116" t="e">
        <f>VLOOKUP(WEEKDAY(O5,2),$A$156:$B$162,2,FALSE)</f>
        <v>#N/A</v>
      </c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</row>
    <row r="6" spans="1:45" s="5" customFormat="1" ht="12">
      <c r="A6" s="132" t="s">
        <v>161</v>
      </c>
      <c r="B6" s="125">
        <v>40</v>
      </c>
      <c r="C6" s="134">
        <f>0.29*60</f>
        <v>17.4</v>
      </c>
      <c r="D6" s="126" t="s">
        <v>32</v>
      </c>
      <c r="E6" s="125">
        <v>70</v>
      </c>
      <c r="F6" s="134">
        <f>0.2*60</f>
        <v>12</v>
      </c>
      <c r="G6" s="126" t="s">
        <v>33</v>
      </c>
      <c r="H6" s="126">
        <f>ACOS((COS(PI()/180*(90-(B5+C5/60)))*COS(PI()/180*(90-(B6+C6/60))))+(SIN(PI()/180*(90-(B5+C5/60)))*SIN(PI()/180*(90-(B6+C6/60)))*COS(ABS(PI()/180*((E5+(F5/60))-(E6+(F6/60)))))))*180/PI()*60</f>
        <v>1.069298095506416</v>
      </c>
      <c r="I6" s="126">
        <f t="shared" si="0"/>
        <v>1.9806965055763845</v>
      </c>
      <c r="J6" s="119">
        <f>J5+I6</f>
        <v>8338.398591468052</v>
      </c>
      <c r="K6" s="116">
        <v>90</v>
      </c>
      <c r="L6" s="116">
        <f>K6/50/60+K6/20/60</f>
        <v>0.105</v>
      </c>
      <c r="M6" s="134">
        <v>0.15</v>
      </c>
      <c r="N6" s="122">
        <f>O5+P6/24</f>
        <v>15.630433446306558</v>
      </c>
      <c r="O6" s="122">
        <f>N6+(L6+M6)/24</f>
        <v>15.641058446306557</v>
      </c>
      <c r="P6" s="123">
        <f>H6/Q6</f>
        <v>0.08910817462553466</v>
      </c>
      <c r="Q6" s="116">
        <v>12</v>
      </c>
      <c r="R6" s="130">
        <f>R5+P6+L6+M6</f>
        <v>375.3854027113574</v>
      </c>
      <c r="S6" s="116">
        <f t="shared" si="1"/>
        <v>15.641058446306559</v>
      </c>
      <c r="T6" s="116" t="e">
        <f>VLOOKUP(WEEKDAY(O6,2),$A$156:$B$162,2,FALSE)</f>
        <v>#N/A</v>
      </c>
      <c r="V6" s="116" t="s">
        <v>10</v>
      </c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</row>
    <row r="7" spans="1:45" s="5" customFormat="1" ht="12">
      <c r="A7" s="132"/>
      <c r="B7" s="125">
        <v>40</v>
      </c>
      <c r="C7" s="134">
        <f>0.29*60</f>
        <v>17.4</v>
      </c>
      <c r="D7" s="126" t="s">
        <v>32</v>
      </c>
      <c r="E7" s="125">
        <v>70</v>
      </c>
      <c r="F7" s="134">
        <f>0.2*60</f>
        <v>12</v>
      </c>
      <c r="G7" s="126" t="s">
        <v>33</v>
      </c>
      <c r="H7" s="126">
        <f>ACOS((COS(PI()/180*(90-(B6+C6/60)))*COS(PI()/180*(90-(B7+C7/60))))+(SIN(PI()/180*(90-(B6+C6/60)))*SIN(PI()/180*(90-(B7+C7/60)))*COS(ABS(PI()/180*((E6+(F6/60))-(E7+(F7/60)))))))*180/PI()*60</f>
        <v>0</v>
      </c>
      <c r="I7" s="126">
        <f t="shared" si="0"/>
        <v>0</v>
      </c>
      <c r="J7" s="119">
        <f>J6+I7</f>
        <v>8338.398591468052</v>
      </c>
      <c r="K7" s="116">
        <v>90</v>
      </c>
      <c r="L7" s="116">
        <f>K7/50/60+K7/20/60</f>
        <v>0.105</v>
      </c>
      <c r="M7" s="134">
        <v>0.15</v>
      </c>
      <c r="N7" s="122">
        <f>O6+P7/24</f>
        <v>15.641058446306557</v>
      </c>
      <c r="O7" s="122">
        <f>N7+(L7+M7)/24</f>
        <v>15.651683446306556</v>
      </c>
      <c r="P7" s="123">
        <f>H7/Q7</f>
        <v>0</v>
      </c>
      <c r="Q7" s="116">
        <v>12</v>
      </c>
      <c r="R7" s="130">
        <f>R6+P7+L7+M7</f>
        <v>375.6404027113574</v>
      </c>
      <c r="S7" s="116">
        <f t="shared" si="1"/>
        <v>15.651683446306558</v>
      </c>
      <c r="T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</row>
    <row r="8" spans="1:45" s="5" customFormat="1" ht="12">
      <c r="A8" s="132">
        <v>1</v>
      </c>
      <c r="B8" s="125">
        <v>40</v>
      </c>
      <c r="C8" s="134">
        <f>0.29*60</f>
        <v>17.4</v>
      </c>
      <c r="D8" s="126" t="s">
        <v>32</v>
      </c>
      <c r="E8" s="125">
        <v>70</v>
      </c>
      <c r="F8" s="134">
        <f>0.2*60</f>
        <v>12</v>
      </c>
      <c r="G8" s="126" t="s">
        <v>33</v>
      </c>
      <c r="H8" s="126">
        <f aca="true" t="shared" si="2" ref="H8:H71">ACOS((COS(PI()/180*(90-(B7+C7/60)))*COS(PI()/180*(90-(B8+C8/60))))+(SIN(PI()/180*(90-(B7+C7/60)))*SIN(PI()/180*(90-(B8+C8/60)))*COS(ABS(PI()/180*((E7+(F7/60))-(E8+(F8/60)))))))*180/PI()*60</f>
        <v>0</v>
      </c>
      <c r="I8" s="126">
        <f t="shared" si="0"/>
        <v>0</v>
      </c>
      <c r="J8" s="119">
        <f aca="true" t="shared" si="3" ref="J8:J71">J7+I8</f>
        <v>8338.398591468052</v>
      </c>
      <c r="K8" s="116">
        <v>90</v>
      </c>
      <c r="L8" s="116">
        <f>K8/50/60+K8/20/60</f>
        <v>0.105</v>
      </c>
      <c r="M8" s="134">
        <v>0.15</v>
      </c>
      <c r="N8" s="122">
        <f aca="true" t="shared" si="4" ref="N8:N71">O7+P8/24</f>
        <v>15.651683446306556</v>
      </c>
      <c r="O8" s="122">
        <f aca="true" t="shared" si="5" ref="O8:O71">N8+(L8+M8)/24</f>
        <v>15.662308446306556</v>
      </c>
      <c r="P8" s="123">
        <f aca="true" t="shared" si="6" ref="P8:P71">H8/Q8</f>
        <v>0</v>
      </c>
      <c r="Q8" s="116">
        <v>12</v>
      </c>
      <c r="R8" s="130">
        <f aca="true" t="shared" si="7" ref="R8:R71">R7+P8+L8+M8</f>
        <v>375.8954027113574</v>
      </c>
      <c r="S8" s="116">
        <f t="shared" si="1"/>
        <v>15.66230844630656</v>
      </c>
      <c r="T8" s="116" t="e">
        <f>VLOOKUP(WEEKDAY(O8,2),$A$156:$B$162,2,FALSE)</f>
        <v>#N/A</v>
      </c>
      <c r="V8" s="116" t="s">
        <v>10</v>
      </c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</row>
    <row r="9" spans="1:45" s="5" customFormat="1" ht="12">
      <c r="A9" s="132">
        <f>A8+1</f>
        <v>2</v>
      </c>
      <c r="B9" s="125">
        <v>40</v>
      </c>
      <c r="C9" s="134">
        <f>0.141*60</f>
        <v>8.459999999999999</v>
      </c>
      <c r="D9" s="126" t="s">
        <v>32</v>
      </c>
      <c r="E9" s="125">
        <v>70</v>
      </c>
      <c r="F9" s="134">
        <f>0.116*60</f>
        <v>6.96</v>
      </c>
      <c r="G9" s="126" t="s">
        <v>33</v>
      </c>
      <c r="H9" s="126">
        <f t="shared" si="2"/>
        <v>9.733226251981952</v>
      </c>
      <c r="I9" s="126">
        <f t="shared" si="0"/>
        <v>18.029179427421237</v>
      </c>
      <c r="J9" s="119">
        <f t="shared" si="3"/>
        <v>8356.427770895474</v>
      </c>
      <c r="K9" s="116">
        <v>120</v>
      </c>
      <c r="L9" s="116">
        <f>K9/50/60+K9/20/60</f>
        <v>0.14</v>
      </c>
      <c r="M9" s="134">
        <v>0.15</v>
      </c>
      <c r="N9" s="122">
        <f t="shared" si="4"/>
        <v>15.70736967895462</v>
      </c>
      <c r="O9" s="122">
        <f t="shared" si="5"/>
        <v>15.719453012287953</v>
      </c>
      <c r="P9" s="123">
        <f t="shared" si="6"/>
        <v>1.0814695835535502</v>
      </c>
      <c r="Q9" s="116">
        <v>9</v>
      </c>
      <c r="R9" s="130">
        <f t="shared" si="7"/>
        <v>377.2668722949109</v>
      </c>
      <c r="S9" s="116">
        <f t="shared" si="1"/>
        <v>15.719453012287955</v>
      </c>
      <c r="T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</row>
    <row r="10" spans="1:45" s="5" customFormat="1" ht="12">
      <c r="A10" s="132">
        <f aca="true" t="shared" si="8" ref="A10:A33">A9+1</f>
        <v>3</v>
      </c>
      <c r="B10" s="125">
        <v>40</v>
      </c>
      <c r="C10" s="134">
        <v>0</v>
      </c>
      <c r="D10" s="126" t="s">
        <v>32</v>
      </c>
      <c r="E10" s="125">
        <v>70</v>
      </c>
      <c r="F10" s="134">
        <v>0</v>
      </c>
      <c r="G10" s="126" t="s">
        <v>33</v>
      </c>
      <c r="H10" s="126">
        <f t="shared" si="2"/>
        <v>9.996976373225614</v>
      </c>
      <c r="I10" s="126">
        <f t="shared" si="0"/>
        <v>18.51773256867158</v>
      </c>
      <c r="J10" s="119">
        <f t="shared" si="3"/>
        <v>8374.945503464145</v>
      </c>
      <c r="K10" s="116">
        <v>160</v>
      </c>
      <c r="L10" s="116">
        <f aca="true" t="shared" si="9" ref="L10:L33">K10/50/60+K10/20/60</f>
        <v>0.18666666666666668</v>
      </c>
      <c r="M10" s="134">
        <v>0.15</v>
      </c>
      <c r="N10" s="122">
        <f t="shared" si="4"/>
        <v>15.765735310312147</v>
      </c>
      <c r="O10" s="122">
        <f t="shared" si="5"/>
        <v>15.779763088089926</v>
      </c>
      <c r="P10" s="123">
        <f t="shared" si="6"/>
        <v>1.1107751525806238</v>
      </c>
      <c r="Q10" s="116">
        <v>9</v>
      </c>
      <c r="R10" s="130">
        <f t="shared" si="7"/>
        <v>378.7143141141582</v>
      </c>
      <c r="S10" s="116">
        <f t="shared" si="1"/>
        <v>15.779763088089924</v>
      </c>
      <c r="T10" s="116" t="e">
        <f>VLOOKUP(WEEKDAY(O10,2),$A$161:$B$167,2,FALSE)</f>
        <v>#N/A</v>
      </c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</row>
    <row r="11" spans="1:45" s="5" customFormat="1" ht="12">
      <c r="A11" s="132">
        <f t="shared" si="8"/>
        <v>4</v>
      </c>
      <c r="B11" s="125">
        <v>39</v>
      </c>
      <c r="C11" s="134">
        <f>0.906*60</f>
        <v>54.36</v>
      </c>
      <c r="D11" s="126" t="s">
        <v>32</v>
      </c>
      <c r="E11" s="125">
        <v>69</v>
      </c>
      <c r="F11" s="134">
        <f>0.93*60</f>
        <v>55.800000000000004</v>
      </c>
      <c r="G11" s="126" t="s">
        <v>33</v>
      </c>
      <c r="H11" s="126">
        <f t="shared" si="2"/>
        <v>6.494260346264244</v>
      </c>
      <c r="I11" s="126">
        <f t="shared" si="0"/>
        <v>12.029534914730133</v>
      </c>
      <c r="J11" s="119">
        <f t="shared" si="3"/>
        <v>8386.975038378876</v>
      </c>
      <c r="K11" s="116">
        <v>700</v>
      </c>
      <c r="L11" s="116">
        <f t="shared" si="9"/>
        <v>0.8166666666666667</v>
      </c>
      <c r="M11" s="134">
        <v>0.15</v>
      </c>
      <c r="N11" s="122">
        <f t="shared" si="4"/>
        <v>15.809829108211519</v>
      </c>
      <c r="O11" s="122">
        <f t="shared" si="5"/>
        <v>15.850106885989296</v>
      </c>
      <c r="P11" s="123">
        <f t="shared" si="6"/>
        <v>0.7215844829182493</v>
      </c>
      <c r="Q11" s="116">
        <v>9</v>
      </c>
      <c r="R11" s="130">
        <f t="shared" si="7"/>
        <v>380.4025652637431</v>
      </c>
      <c r="S11" s="116">
        <f t="shared" si="1"/>
        <v>15.850106885989296</v>
      </c>
      <c r="T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</row>
    <row r="12" spans="1:45" s="5" customFormat="1" ht="12">
      <c r="A12" s="132">
        <f t="shared" si="8"/>
        <v>5</v>
      </c>
      <c r="B12" s="125">
        <v>39</v>
      </c>
      <c r="C12" s="134">
        <f>0.859*60</f>
        <v>51.54</v>
      </c>
      <c r="D12" s="126" t="s">
        <v>32</v>
      </c>
      <c r="E12" s="125">
        <v>69</v>
      </c>
      <c r="F12" s="134">
        <f>0.901*60</f>
        <v>54.06</v>
      </c>
      <c r="G12" s="126" t="s">
        <v>33</v>
      </c>
      <c r="H12" s="126">
        <f t="shared" si="2"/>
        <v>3.1201250968469942</v>
      </c>
      <c r="I12" s="126">
        <f t="shared" si="0"/>
        <v>5.779511721059582</v>
      </c>
      <c r="J12" s="119">
        <f t="shared" si="3"/>
        <v>8392.754550099935</v>
      </c>
      <c r="K12" s="116">
        <v>1000</v>
      </c>
      <c r="L12" s="116">
        <f t="shared" si="9"/>
        <v>1.1666666666666667</v>
      </c>
      <c r="M12" s="134">
        <v>0.15</v>
      </c>
      <c r="N12" s="122">
        <f t="shared" si="4"/>
        <v>15.86455190958581</v>
      </c>
      <c r="O12" s="122">
        <f t="shared" si="5"/>
        <v>15.91941302069692</v>
      </c>
      <c r="P12" s="123">
        <f t="shared" si="6"/>
        <v>0.3466805663163327</v>
      </c>
      <c r="Q12" s="116">
        <v>9</v>
      </c>
      <c r="R12" s="130">
        <f t="shared" si="7"/>
        <v>382.06591249672607</v>
      </c>
      <c r="S12" s="116">
        <f t="shared" si="1"/>
        <v>15.91941302069692</v>
      </c>
      <c r="T12" s="116" t="e">
        <f>VLOOKUP(WEEKDAY(O12,2),$A$161:$B$167,2,FALSE)</f>
        <v>#N/A</v>
      </c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</row>
    <row r="13" spans="1:45" s="5" customFormat="1" ht="12">
      <c r="A13" s="132">
        <f t="shared" si="8"/>
        <v>6</v>
      </c>
      <c r="B13" s="125">
        <v>39</v>
      </c>
      <c r="C13" s="134">
        <f>0.79*60</f>
        <v>47.400000000000006</v>
      </c>
      <c r="D13" s="126" t="s">
        <v>32</v>
      </c>
      <c r="E13" s="125">
        <v>69</v>
      </c>
      <c r="F13" s="134">
        <f>0.853*60</f>
        <v>51.18</v>
      </c>
      <c r="G13" s="126" t="s">
        <v>33</v>
      </c>
      <c r="H13" s="126">
        <f t="shared" si="2"/>
        <v>4.693821291967982</v>
      </c>
      <c r="I13" s="126">
        <f t="shared" si="0"/>
        <v>8.694521639822026</v>
      </c>
      <c r="J13" s="119">
        <f t="shared" si="3"/>
        <v>8401.449071739757</v>
      </c>
      <c r="K13" s="116">
        <v>1500</v>
      </c>
      <c r="L13" s="116">
        <f t="shared" si="9"/>
        <v>1.75</v>
      </c>
      <c r="M13" s="134">
        <v>0.15</v>
      </c>
      <c r="N13" s="122">
        <f t="shared" si="4"/>
        <v>15.941143674826401</v>
      </c>
      <c r="O13" s="122">
        <f t="shared" si="5"/>
        <v>16.02031034149307</v>
      </c>
      <c r="P13" s="123">
        <f t="shared" si="6"/>
        <v>0.5215356991075536</v>
      </c>
      <c r="Q13" s="116">
        <v>9</v>
      </c>
      <c r="R13" s="130">
        <f t="shared" si="7"/>
        <v>384.4874481958336</v>
      </c>
      <c r="S13" s="116">
        <f t="shared" si="1"/>
        <v>16.02031034149307</v>
      </c>
      <c r="T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</row>
    <row r="14" spans="1:45" s="5" customFormat="1" ht="12">
      <c r="A14" s="132">
        <f t="shared" si="8"/>
        <v>7</v>
      </c>
      <c r="B14" s="125">
        <v>39</v>
      </c>
      <c r="C14" s="134">
        <f>0.7*60</f>
        <v>42</v>
      </c>
      <c r="D14" s="126" t="s">
        <v>32</v>
      </c>
      <c r="E14" s="125">
        <v>69</v>
      </c>
      <c r="F14" s="134">
        <f>0.8*60</f>
        <v>48</v>
      </c>
      <c r="G14" s="126" t="s">
        <v>33</v>
      </c>
      <c r="H14" s="126">
        <f t="shared" si="2"/>
        <v>5.9277721778955295</v>
      </c>
      <c r="I14" s="126">
        <f t="shared" si="0"/>
        <v>10.98020999752182</v>
      </c>
      <c r="J14" s="119">
        <f t="shared" si="3"/>
        <v>8412.429281737279</v>
      </c>
      <c r="K14" s="116">
        <v>2000</v>
      </c>
      <c r="L14" s="116">
        <f t="shared" si="9"/>
        <v>2.3333333333333335</v>
      </c>
      <c r="M14" s="134">
        <v>0.15</v>
      </c>
      <c r="N14" s="122">
        <f t="shared" si="4"/>
        <v>16.04775373120555</v>
      </c>
      <c r="O14" s="122">
        <f t="shared" si="5"/>
        <v>16.151225953427772</v>
      </c>
      <c r="P14" s="123">
        <f t="shared" si="6"/>
        <v>0.6586413530995032</v>
      </c>
      <c r="Q14" s="116">
        <v>9</v>
      </c>
      <c r="R14" s="130">
        <f t="shared" si="7"/>
        <v>387.6294228822664</v>
      </c>
      <c r="S14" s="116">
        <f t="shared" si="1"/>
        <v>16.151225953427765</v>
      </c>
      <c r="T14" s="116" t="e">
        <f>VLOOKUP(WEEKDAY(O14,2),$A$161:$B$167,2,FALSE)</f>
        <v>#N/A</v>
      </c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</row>
    <row r="15" spans="1:45" s="5" customFormat="1" ht="12">
      <c r="A15" s="132">
        <f t="shared" si="8"/>
        <v>8</v>
      </c>
      <c r="B15" s="125">
        <v>39</v>
      </c>
      <c r="C15" s="134">
        <f>0.477*60</f>
        <v>28.619999999999997</v>
      </c>
      <c r="D15" s="126" t="s">
        <v>32</v>
      </c>
      <c r="E15" s="125">
        <v>69</v>
      </c>
      <c r="F15" s="134">
        <f>0.639*60</f>
        <v>38.34</v>
      </c>
      <c r="G15" s="126" t="s">
        <v>33</v>
      </c>
      <c r="H15" s="126">
        <f t="shared" si="2"/>
        <v>15.311537114141164</v>
      </c>
      <c r="I15" s="126">
        <f t="shared" si="0"/>
        <v>28.362070581094148</v>
      </c>
      <c r="J15" s="119">
        <f t="shared" si="3"/>
        <v>8440.791352318372</v>
      </c>
      <c r="K15" s="116">
        <v>2400</v>
      </c>
      <c r="L15" s="116">
        <f t="shared" si="9"/>
        <v>2.8</v>
      </c>
      <c r="M15" s="134">
        <v>0.15</v>
      </c>
      <c r="N15" s="122">
        <f t="shared" si="4"/>
        <v>16.222112699326573</v>
      </c>
      <c r="O15" s="122">
        <f t="shared" si="5"/>
        <v>16.345029365993238</v>
      </c>
      <c r="P15" s="123">
        <f t="shared" si="6"/>
        <v>1.7012819015712404</v>
      </c>
      <c r="Q15" s="116">
        <v>9</v>
      </c>
      <c r="R15" s="130">
        <f t="shared" si="7"/>
        <v>392.2807047838376</v>
      </c>
      <c r="S15" s="116">
        <f t="shared" si="1"/>
        <v>16.345029365993234</v>
      </c>
      <c r="T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</row>
    <row r="16" spans="1:45" s="5" customFormat="1" ht="12">
      <c r="A16" s="132">
        <f t="shared" si="8"/>
        <v>9</v>
      </c>
      <c r="B16" s="125">
        <v>39</v>
      </c>
      <c r="C16" s="134">
        <f>0.35*60</f>
        <v>21</v>
      </c>
      <c r="D16" s="126" t="s">
        <v>32</v>
      </c>
      <c r="E16" s="125">
        <v>69</v>
      </c>
      <c r="F16" s="134">
        <f>0.537*60</f>
        <v>32.22</v>
      </c>
      <c r="G16" s="126" t="s">
        <v>33</v>
      </c>
      <c r="H16" s="126">
        <f t="shared" si="2"/>
        <v>8.967740972405863</v>
      </c>
      <c r="I16" s="126">
        <f t="shared" si="0"/>
        <v>16.61124552788646</v>
      </c>
      <c r="J16" s="119">
        <f t="shared" si="3"/>
        <v>8457.40259784626</v>
      </c>
      <c r="K16" s="116">
        <v>2500</v>
      </c>
      <c r="L16" s="116">
        <f t="shared" si="9"/>
        <v>2.916666666666667</v>
      </c>
      <c r="M16" s="134">
        <v>0.15</v>
      </c>
      <c r="N16" s="122">
        <f t="shared" si="4"/>
        <v>16.38654668530993</v>
      </c>
      <c r="O16" s="122">
        <f t="shared" si="5"/>
        <v>16.514324463087707</v>
      </c>
      <c r="P16" s="123">
        <f t="shared" si="6"/>
        <v>0.9964156636006515</v>
      </c>
      <c r="Q16" s="116">
        <v>9</v>
      </c>
      <c r="R16" s="130">
        <f t="shared" si="7"/>
        <v>396.34378711410494</v>
      </c>
      <c r="S16" s="116">
        <f t="shared" si="1"/>
        <v>16.514324463087707</v>
      </c>
      <c r="T16" s="116" t="e">
        <f>VLOOKUP(WEEKDAY(O16,2),$A$161:$B$167,2,FALSE)</f>
        <v>#N/A</v>
      </c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</row>
    <row r="17" spans="1:45" s="5" customFormat="1" ht="12">
      <c r="A17" s="132">
        <f t="shared" si="8"/>
        <v>10</v>
      </c>
      <c r="B17" s="125">
        <v>39</v>
      </c>
      <c r="C17" s="134">
        <f>0.087*60</f>
        <v>5.22</v>
      </c>
      <c r="D17" s="126" t="s">
        <v>32</v>
      </c>
      <c r="E17" s="125">
        <v>69</v>
      </c>
      <c r="F17" s="134">
        <f>0.354*60</f>
        <v>21.24</v>
      </c>
      <c r="G17" s="126" t="s">
        <v>33</v>
      </c>
      <c r="H17" s="126">
        <f t="shared" si="2"/>
        <v>17.926825627251176</v>
      </c>
      <c r="I17" s="126">
        <f t="shared" si="0"/>
        <v>33.206456670211594</v>
      </c>
      <c r="J17" s="119">
        <f t="shared" si="3"/>
        <v>8490.609054516472</v>
      </c>
      <c r="K17" s="116">
        <v>3000</v>
      </c>
      <c r="L17" s="116">
        <f t="shared" si="9"/>
        <v>3.5</v>
      </c>
      <c r="M17" s="134">
        <v>0.15</v>
      </c>
      <c r="N17" s="122">
        <f t="shared" si="4"/>
        <v>16.597319026176834</v>
      </c>
      <c r="O17" s="122">
        <f t="shared" si="5"/>
        <v>16.749402359510167</v>
      </c>
      <c r="P17" s="123">
        <f t="shared" si="6"/>
        <v>1.9918695141390197</v>
      </c>
      <c r="Q17" s="116">
        <v>9</v>
      </c>
      <c r="R17" s="130">
        <f t="shared" si="7"/>
        <v>401.98565662824393</v>
      </c>
      <c r="S17" s="116">
        <f t="shared" si="1"/>
        <v>16.749402359510164</v>
      </c>
      <c r="T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</row>
    <row r="18" spans="1:45" s="5" customFormat="1" ht="12">
      <c r="A18" s="132">
        <f t="shared" si="8"/>
        <v>11</v>
      </c>
      <c r="B18" s="125">
        <v>38</v>
      </c>
      <c r="C18" s="134">
        <f>0.82*60</f>
        <v>49.199999999999996</v>
      </c>
      <c r="D18" s="126" t="s">
        <v>32</v>
      </c>
      <c r="E18" s="125">
        <v>69</v>
      </c>
      <c r="F18" s="134">
        <f>0.2*60</f>
        <v>12</v>
      </c>
      <c r="G18" s="126" t="s">
        <v>33</v>
      </c>
      <c r="H18" s="126">
        <f t="shared" si="2"/>
        <v>17.557681406268273</v>
      </c>
      <c r="I18" s="126">
        <f t="shared" si="0"/>
        <v>32.5226785248776</v>
      </c>
      <c r="J18" s="119">
        <f t="shared" si="3"/>
        <v>8523.13173304135</v>
      </c>
      <c r="K18" s="116">
        <v>3300</v>
      </c>
      <c r="L18" s="116">
        <f t="shared" si="9"/>
        <v>3.85</v>
      </c>
      <c r="M18" s="134">
        <v>0.15</v>
      </c>
      <c r="N18" s="122">
        <f t="shared" si="4"/>
        <v>16.830687921576224</v>
      </c>
      <c r="O18" s="122">
        <f t="shared" si="5"/>
        <v>16.997354588242892</v>
      </c>
      <c r="P18" s="123">
        <f t="shared" si="6"/>
        <v>1.9508534895853638</v>
      </c>
      <c r="Q18" s="116">
        <v>9</v>
      </c>
      <c r="R18" s="130">
        <f t="shared" si="7"/>
        <v>407.9365101178293</v>
      </c>
      <c r="S18" s="116">
        <f t="shared" si="1"/>
        <v>16.99735458824289</v>
      </c>
      <c r="T18" s="116" t="e">
        <f>VLOOKUP(WEEKDAY(O18,2),$A$161:$B$167,2,FALSE)</f>
        <v>#N/A</v>
      </c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</row>
    <row r="19" spans="1:45" s="5" customFormat="1" ht="12">
      <c r="A19" s="132">
        <f t="shared" si="8"/>
        <v>12</v>
      </c>
      <c r="B19" s="125">
        <v>38</v>
      </c>
      <c r="C19" s="134">
        <f>0.558*60</f>
        <v>33.480000000000004</v>
      </c>
      <c r="D19" s="126" t="s">
        <v>32</v>
      </c>
      <c r="E19" s="125">
        <v>69</v>
      </c>
      <c r="F19" s="134">
        <f>0.01*60</f>
        <v>0.6</v>
      </c>
      <c r="G19" s="126" t="s">
        <v>33</v>
      </c>
      <c r="H19" s="126">
        <f t="shared" si="2"/>
        <v>18.063700192250913</v>
      </c>
      <c r="I19" s="126">
        <f t="shared" si="0"/>
        <v>33.45999398944611</v>
      </c>
      <c r="J19" s="119">
        <f t="shared" si="3"/>
        <v>8556.591727030796</v>
      </c>
      <c r="K19" s="116">
        <v>3400</v>
      </c>
      <c r="L19" s="116">
        <f t="shared" si="9"/>
        <v>3.966666666666667</v>
      </c>
      <c r="M19" s="134">
        <v>0.15</v>
      </c>
      <c r="N19" s="122">
        <f t="shared" si="4"/>
        <v>17.080982829873683</v>
      </c>
      <c r="O19" s="122">
        <f t="shared" si="5"/>
        <v>17.252510607651462</v>
      </c>
      <c r="P19" s="123">
        <f t="shared" si="6"/>
        <v>2.0070777991389903</v>
      </c>
      <c r="Q19" s="116">
        <v>9</v>
      </c>
      <c r="R19" s="130">
        <f t="shared" si="7"/>
        <v>414.0602545836349</v>
      </c>
      <c r="S19" s="116">
        <f t="shared" si="1"/>
        <v>17.252510607651455</v>
      </c>
      <c r="T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</row>
    <row r="20" spans="1:45" s="5" customFormat="1" ht="12">
      <c r="A20" s="132">
        <f t="shared" si="8"/>
        <v>13</v>
      </c>
      <c r="B20" s="125">
        <v>38</v>
      </c>
      <c r="C20" s="134">
        <f>0.322*60</f>
        <v>19.32</v>
      </c>
      <c r="D20" s="126" t="s">
        <v>32</v>
      </c>
      <c r="E20" s="125">
        <v>68</v>
      </c>
      <c r="F20" s="134">
        <f>0.869*60</f>
        <v>52.14</v>
      </c>
      <c r="G20" s="126" t="s">
        <v>33</v>
      </c>
      <c r="H20" s="126">
        <f t="shared" si="2"/>
        <v>15.633754392483326</v>
      </c>
      <c r="I20" s="126">
        <f t="shared" si="0"/>
        <v>28.958924386343277</v>
      </c>
      <c r="J20" s="119">
        <f t="shared" si="3"/>
        <v>8585.55065141714</v>
      </c>
      <c r="K20" s="116">
        <v>3800</v>
      </c>
      <c r="L20" s="116">
        <f t="shared" si="9"/>
        <v>4.433333333333334</v>
      </c>
      <c r="M20" s="134">
        <v>0.15</v>
      </c>
      <c r="N20" s="122">
        <f t="shared" si="4"/>
        <v>17.324889100209255</v>
      </c>
      <c r="O20" s="122">
        <f t="shared" si="5"/>
        <v>17.515861322431476</v>
      </c>
      <c r="P20" s="123">
        <f t="shared" si="6"/>
        <v>1.737083821387036</v>
      </c>
      <c r="Q20" s="116">
        <v>9</v>
      </c>
      <c r="R20" s="130">
        <f t="shared" si="7"/>
        <v>420.38067173835526</v>
      </c>
      <c r="S20" s="116">
        <f t="shared" si="1"/>
        <v>17.51586132243147</v>
      </c>
      <c r="T20" s="116" t="e">
        <f>VLOOKUP(WEEKDAY(O20,2),$A$161:$B$167,2,FALSE)</f>
        <v>#N/A</v>
      </c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</row>
    <row r="21" spans="1:45" s="5" customFormat="1" ht="12">
      <c r="A21" s="132">
        <f t="shared" si="8"/>
        <v>14</v>
      </c>
      <c r="B21" s="125">
        <v>38</v>
      </c>
      <c r="C21" s="134">
        <f>0.09*60</f>
        <v>5.3999999999999995</v>
      </c>
      <c r="D21" s="126" t="s">
        <v>32</v>
      </c>
      <c r="E21" s="125">
        <v>68</v>
      </c>
      <c r="F21" s="134">
        <f>0.7*60</f>
        <v>42</v>
      </c>
      <c r="G21" s="126" t="s">
        <v>33</v>
      </c>
      <c r="H21" s="126">
        <f t="shared" si="2"/>
        <v>16.039142054055727</v>
      </c>
      <c r="I21" s="126">
        <f t="shared" si="0"/>
        <v>29.709837464795893</v>
      </c>
      <c r="J21" s="119">
        <f t="shared" si="3"/>
        <v>8615.260488881935</v>
      </c>
      <c r="K21" s="116">
        <v>4300</v>
      </c>
      <c r="L21" s="116">
        <f t="shared" si="9"/>
        <v>5.016666666666667</v>
      </c>
      <c r="M21" s="134">
        <v>0.15</v>
      </c>
      <c r="N21" s="122">
        <f t="shared" si="4"/>
        <v>17.59011660971877</v>
      </c>
      <c r="O21" s="122">
        <f t="shared" si="5"/>
        <v>17.80539438749655</v>
      </c>
      <c r="P21" s="123">
        <f t="shared" si="6"/>
        <v>1.7821268948950808</v>
      </c>
      <c r="Q21" s="116">
        <v>9</v>
      </c>
      <c r="R21" s="130">
        <f t="shared" si="7"/>
        <v>427.329465299917</v>
      </c>
      <c r="S21" s="116">
        <f t="shared" si="1"/>
        <v>17.80539438749654</v>
      </c>
      <c r="T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</row>
    <row r="22" spans="1:45" s="5" customFormat="1" ht="12">
      <c r="A22" s="132">
        <f t="shared" si="8"/>
        <v>15</v>
      </c>
      <c r="B22" s="125">
        <v>37</v>
      </c>
      <c r="C22" s="134">
        <f>0.86*60</f>
        <v>51.6</v>
      </c>
      <c r="D22" s="126" t="s">
        <v>32</v>
      </c>
      <c r="E22" s="125">
        <v>68</v>
      </c>
      <c r="F22" s="134">
        <f>0.515*60</f>
        <v>30.900000000000002</v>
      </c>
      <c r="G22" s="126" t="s">
        <v>33</v>
      </c>
      <c r="H22" s="126">
        <f t="shared" si="2"/>
        <v>16.340148113057296</v>
      </c>
      <c r="I22" s="126">
        <f t="shared" si="0"/>
        <v>30.267401021419797</v>
      </c>
      <c r="J22" s="119">
        <f t="shared" si="3"/>
        <v>8645.527889903355</v>
      </c>
      <c r="K22" s="116">
        <v>4400</v>
      </c>
      <c r="L22" s="116">
        <f t="shared" si="9"/>
        <v>5.133333333333333</v>
      </c>
      <c r="M22" s="134">
        <v>0.15</v>
      </c>
      <c r="N22" s="122">
        <f t="shared" si="4"/>
        <v>17.881043221353295</v>
      </c>
      <c r="O22" s="122">
        <f t="shared" si="5"/>
        <v>18.101182110242185</v>
      </c>
      <c r="P22" s="123">
        <f t="shared" si="6"/>
        <v>1.8155720125619217</v>
      </c>
      <c r="Q22" s="116">
        <v>9</v>
      </c>
      <c r="R22" s="130">
        <f t="shared" si="7"/>
        <v>434.4283706458122</v>
      </c>
      <c r="S22" s="116">
        <f t="shared" si="1"/>
        <v>18.101182110242174</v>
      </c>
      <c r="T22" s="116" t="e">
        <f>VLOOKUP(WEEKDAY(O22,2),$A$161:$B$167,2,FALSE)</f>
        <v>#N/A</v>
      </c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</row>
    <row r="23" spans="1:45" s="5" customFormat="1" ht="12">
      <c r="A23" s="132">
        <f t="shared" si="8"/>
        <v>16</v>
      </c>
      <c r="B23" s="125">
        <v>37</v>
      </c>
      <c r="C23" s="134">
        <f>0.621*60</f>
        <v>37.26</v>
      </c>
      <c r="D23" s="126" t="s">
        <v>32</v>
      </c>
      <c r="E23" s="125">
        <v>68</v>
      </c>
      <c r="F23" s="134">
        <f>0.381*60</f>
        <v>22.86</v>
      </c>
      <c r="G23" s="126" t="s">
        <v>33</v>
      </c>
      <c r="H23" s="126">
        <f t="shared" si="2"/>
        <v>15.686270663073849</v>
      </c>
      <c r="I23" s="126">
        <f t="shared" si="0"/>
        <v>29.05620202490046</v>
      </c>
      <c r="J23" s="119">
        <f t="shared" si="3"/>
        <v>8674.584091928255</v>
      </c>
      <c r="K23" s="116">
        <v>4600</v>
      </c>
      <c r="L23" s="116">
        <f t="shared" si="9"/>
        <v>5.366666666666667</v>
      </c>
      <c r="M23" s="134">
        <v>0.15</v>
      </c>
      <c r="N23" s="122">
        <f t="shared" si="4"/>
        <v>18.17380373368234</v>
      </c>
      <c r="O23" s="122">
        <f t="shared" si="5"/>
        <v>18.403664844793454</v>
      </c>
      <c r="P23" s="123">
        <f t="shared" si="6"/>
        <v>1.7429189625637609</v>
      </c>
      <c r="Q23" s="116">
        <v>9</v>
      </c>
      <c r="R23" s="130">
        <f t="shared" si="7"/>
        <v>441.6879562750426</v>
      </c>
      <c r="S23" s="116">
        <f t="shared" si="1"/>
        <v>18.403664844793443</v>
      </c>
      <c r="T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</row>
    <row r="24" spans="1:45" s="5" customFormat="1" ht="12">
      <c r="A24" s="132">
        <f t="shared" si="8"/>
        <v>17</v>
      </c>
      <c r="B24" s="125">
        <v>37</v>
      </c>
      <c r="C24" s="134">
        <f>0.38*60</f>
        <v>22.8</v>
      </c>
      <c r="D24" s="126" t="s">
        <v>32</v>
      </c>
      <c r="E24" s="125">
        <v>68</v>
      </c>
      <c r="F24" s="134">
        <f>0.214*60</f>
        <v>12.84</v>
      </c>
      <c r="G24" s="126" t="s">
        <v>33</v>
      </c>
      <c r="H24" s="126">
        <f t="shared" si="2"/>
        <v>16.50101352027804</v>
      </c>
      <c r="I24" s="126">
        <f t="shared" si="0"/>
        <v>30.56537737739502</v>
      </c>
      <c r="J24" s="119">
        <f t="shared" si="3"/>
        <v>8705.14946930565</v>
      </c>
      <c r="K24" s="116">
        <v>4700</v>
      </c>
      <c r="L24" s="116">
        <f t="shared" si="9"/>
        <v>5.483333333333333</v>
      </c>
      <c r="M24" s="134">
        <v>0.15</v>
      </c>
      <c r="N24" s="122">
        <f t="shared" si="4"/>
        <v>18.480058425905852</v>
      </c>
      <c r="O24" s="122">
        <f t="shared" si="5"/>
        <v>18.714780648128073</v>
      </c>
      <c r="P24" s="123">
        <f t="shared" si="6"/>
        <v>1.83344594669756</v>
      </c>
      <c r="Q24" s="116">
        <v>9</v>
      </c>
      <c r="R24" s="130">
        <f t="shared" si="7"/>
        <v>449.1547355550735</v>
      </c>
      <c r="S24" s="116">
        <f t="shared" si="1"/>
        <v>18.714780648128063</v>
      </c>
      <c r="T24" s="116" t="e">
        <f>VLOOKUP(WEEKDAY(O24,2),$A$161:$B$167,2,FALSE)</f>
        <v>#N/A</v>
      </c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</row>
    <row r="25" spans="1:45" s="5" customFormat="1" ht="12">
      <c r="A25" s="132">
        <f t="shared" si="8"/>
        <v>18</v>
      </c>
      <c r="B25" s="125">
        <v>37</v>
      </c>
      <c r="C25" s="134">
        <f>0.139*60</f>
        <v>8.34</v>
      </c>
      <c r="D25" s="126" t="s">
        <v>32</v>
      </c>
      <c r="E25" s="125">
        <v>68</v>
      </c>
      <c r="F25" s="134">
        <f>0.06*60</f>
        <v>3.5999999999999996</v>
      </c>
      <c r="G25" s="126" t="s">
        <v>33</v>
      </c>
      <c r="H25" s="126">
        <f t="shared" si="2"/>
        <v>16.222657414330204</v>
      </c>
      <c r="I25" s="126">
        <f t="shared" si="0"/>
        <v>30.049769083810983</v>
      </c>
      <c r="J25" s="119">
        <f t="shared" si="3"/>
        <v>8735.199238389461</v>
      </c>
      <c r="K25" s="116">
        <v>4900</v>
      </c>
      <c r="L25" s="116">
        <f t="shared" si="9"/>
        <v>5.716666666666667</v>
      </c>
      <c r="M25" s="134">
        <v>0.15</v>
      </c>
      <c r="N25" s="122">
        <f t="shared" si="4"/>
        <v>18.789885543564786</v>
      </c>
      <c r="O25" s="122">
        <f t="shared" si="5"/>
        <v>19.03432998800923</v>
      </c>
      <c r="P25" s="123">
        <f t="shared" si="6"/>
        <v>1.8025174904811339</v>
      </c>
      <c r="Q25" s="116">
        <v>9</v>
      </c>
      <c r="R25" s="130">
        <f t="shared" si="7"/>
        <v>456.82391971222125</v>
      </c>
      <c r="S25" s="116">
        <f t="shared" si="1"/>
        <v>19.03432998800922</v>
      </c>
      <c r="T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</row>
    <row r="26" spans="1:45" s="5" customFormat="1" ht="12">
      <c r="A26" s="132">
        <f t="shared" si="8"/>
        <v>19</v>
      </c>
      <c r="B26" s="125">
        <v>36</v>
      </c>
      <c r="C26" s="134">
        <f>0.898*60</f>
        <v>53.88</v>
      </c>
      <c r="D26" s="126" t="s">
        <v>32</v>
      </c>
      <c r="E26" s="125">
        <v>67</v>
      </c>
      <c r="F26" s="134">
        <f>0.899*60</f>
        <v>53.94</v>
      </c>
      <c r="G26" s="126" t="s">
        <v>33</v>
      </c>
      <c r="H26" s="126">
        <f t="shared" si="2"/>
        <v>16.38843541435141</v>
      </c>
      <c r="I26" s="126">
        <f t="shared" si="0"/>
        <v>30.356845199183592</v>
      </c>
      <c r="J26" s="119">
        <f t="shared" si="3"/>
        <v>8765.556083588644</v>
      </c>
      <c r="K26" s="116">
        <v>4950</v>
      </c>
      <c r="L26" s="116">
        <f t="shared" si="9"/>
        <v>5.775</v>
      </c>
      <c r="M26" s="134">
        <v>0.15</v>
      </c>
      <c r="N26" s="122">
        <f t="shared" si="4"/>
        <v>19.091234277642393</v>
      </c>
      <c r="O26" s="122">
        <f t="shared" si="5"/>
        <v>19.338109277642392</v>
      </c>
      <c r="P26" s="123">
        <f t="shared" si="6"/>
        <v>1.3657029511959509</v>
      </c>
      <c r="Q26" s="116">
        <v>12</v>
      </c>
      <c r="R26" s="130">
        <f t="shared" si="7"/>
        <v>464.11462266341715</v>
      </c>
      <c r="S26" s="116">
        <f t="shared" si="1"/>
        <v>19.33810927764238</v>
      </c>
      <c r="T26" s="116" t="e">
        <f>VLOOKUP(WEEKDAY(O26,2),$A$161:$B$167,2,FALSE)</f>
        <v>#N/A</v>
      </c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</row>
    <row r="27" spans="1:45" s="173" customFormat="1" ht="12">
      <c r="A27" s="168">
        <f t="shared" si="8"/>
        <v>20</v>
      </c>
      <c r="B27" s="169">
        <v>36</v>
      </c>
      <c r="C27" s="170">
        <f>0.658*60</f>
        <v>39.480000000000004</v>
      </c>
      <c r="D27" s="171" t="s">
        <v>32</v>
      </c>
      <c r="E27" s="169">
        <v>67</v>
      </c>
      <c r="F27" s="170">
        <f>0.74*60</f>
        <v>44.4</v>
      </c>
      <c r="G27" s="171" t="s">
        <v>33</v>
      </c>
      <c r="H27" s="126">
        <f t="shared" si="2"/>
        <v>16.301756110987796</v>
      </c>
      <c r="I27" s="126">
        <f t="shared" si="0"/>
        <v>30.196286236253062</v>
      </c>
      <c r="J27" s="119">
        <f t="shared" si="3"/>
        <v>8795.752369824897</v>
      </c>
      <c r="K27" s="172">
        <v>4950</v>
      </c>
      <c r="L27" s="172">
        <f t="shared" si="9"/>
        <v>5.775</v>
      </c>
      <c r="M27" s="170">
        <v>0.15</v>
      </c>
      <c r="N27" s="122">
        <f t="shared" si="4"/>
        <v>19.413580370748818</v>
      </c>
      <c r="O27" s="122">
        <f t="shared" si="5"/>
        <v>19.660455370748817</v>
      </c>
      <c r="P27" s="123">
        <f t="shared" si="6"/>
        <v>1.8113062345541995</v>
      </c>
      <c r="Q27" s="116">
        <v>9</v>
      </c>
      <c r="R27" s="130">
        <f t="shared" si="7"/>
        <v>471.8509288979713</v>
      </c>
      <c r="S27" s="116">
        <f t="shared" si="1"/>
        <v>19.660455370748803</v>
      </c>
      <c r="T27" s="172" t="e">
        <f aca="true" t="shared" si="10" ref="T27:T33">VLOOKUP(WEEKDAY(O27,2),$A$153:$B$159,2,FALSE)</f>
        <v>#N/A</v>
      </c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</row>
    <row r="28" spans="1:45" s="173" customFormat="1" ht="12">
      <c r="A28" s="168">
        <f t="shared" si="8"/>
        <v>21</v>
      </c>
      <c r="B28" s="169">
        <v>36</v>
      </c>
      <c r="C28" s="170">
        <f>0.206*60</f>
        <v>12.36</v>
      </c>
      <c r="D28" s="171" t="s">
        <v>32</v>
      </c>
      <c r="E28" s="169">
        <v>67</v>
      </c>
      <c r="F28" s="170">
        <f>0.452*60</f>
        <v>27.12</v>
      </c>
      <c r="G28" s="171" t="s">
        <v>33</v>
      </c>
      <c r="H28" s="126">
        <f t="shared" si="2"/>
        <v>30.47589953900889</v>
      </c>
      <c r="I28" s="126">
        <f t="shared" si="0"/>
        <v>56.45152457942413</v>
      </c>
      <c r="J28" s="119">
        <f t="shared" si="3"/>
        <v>8852.203894404322</v>
      </c>
      <c r="K28" s="172">
        <v>5000</v>
      </c>
      <c r="L28" s="172">
        <f t="shared" si="9"/>
        <v>5.833333333333334</v>
      </c>
      <c r="M28" s="170">
        <v>0.15</v>
      </c>
      <c r="N28" s="122">
        <f t="shared" si="4"/>
        <v>19.80154749824423</v>
      </c>
      <c r="O28" s="122">
        <f t="shared" si="5"/>
        <v>20.050853053799784</v>
      </c>
      <c r="P28" s="123">
        <f t="shared" si="6"/>
        <v>3.3862110598898765</v>
      </c>
      <c r="Q28" s="116">
        <v>9</v>
      </c>
      <c r="R28" s="130">
        <f t="shared" si="7"/>
        <v>481.2204732911945</v>
      </c>
      <c r="S28" s="116">
        <f t="shared" si="1"/>
        <v>20.05085305379977</v>
      </c>
      <c r="T28" s="172" t="e">
        <f t="shared" si="10"/>
        <v>#N/A</v>
      </c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</row>
    <row r="29" spans="1:45" s="173" customFormat="1" ht="12">
      <c r="A29" s="168">
        <f t="shared" si="8"/>
        <v>22</v>
      </c>
      <c r="B29" s="169">
        <v>35</v>
      </c>
      <c r="C29" s="170">
        <f>0.709*60</f>
        <v>42.54</v>
      </c>
      <c r="D29" s="171" t="s">
        <v>32</v>
      </c>
      <c r="E29" s="169">
        <v>67</v>
      </c>
      <c r="F29" s="170">
        <f>0.158*60</f>
        <v>9.48</v>
      </c>
      <c r="G29" s="171" t="s">
        <v>33</v>
      </c>
      <c r="H29" s="126">
        <f t="shared" si="2"/>
        <v>33.06223769334779</v>
      </c>
      <c r="I29" s="126">
        <f t="shared" si="0"/>
        <v>61.24228495397789</v>
      </c>
      <c r="J29" s="119">
        <f t="shared" si="3"/>
        <v>8913.4461793583</v>
      </c>
      <c r="K29" s="172">
        <v>5100</v>
      </c>
      <c r="L29" s="172">
        <f t="shared" si="9"/>
        <v>5.95</v>
      </c>
      <c r="M29" s="170">
        <v>0.15</v>
      </c>
      <c r="N29" s="122">
        <f t="shared" si="4"/>
        <v>20.203918969046764</v>
      </c>
      <c r="O29" s="122">
        <f t="shared" si="5"/>
        <v>20.45808563571343</v>
      </c>
      <c r="P29" s="123">
        <f t="shared" si="6"/>
        <v>3.673581965927532</v>
      </c>
      <c r="Q29" s="116">
        <v>9</v>
      </c>
      <c r="R29" s="130">
        <f t="shared" si="7"/>
        <v>490.994055257122</v>
      </c>
      <c r="S29" s="116">
        <f t="shared" si="1"/>
        <v>20.458085635713417</v>
      </c>
      <c r="T29" s="172" t="e">
        <f t="shared" si="10"/>
        <v>#N/A</v>
      </c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</row>
    <row r="30" spans="1:45" s="173" customFormat="1" ht="12">
      <c r="A30" s="168">
        <f t="shared" si="8"/>
        <v>23</v>
      </c>
      <c r="B30" s="169">
        <v>35</v>
      </c>
      <c r="C30" s="170">
        <f>0.228*60</f>
        <v>13.68</v>
      </c>
      <c r="D30" s="171" t="s">
        <v>32</v>
      </c>
      <c r="E30" s="169">
        <v>66</v>
      </c>
      <c r="F30" s="170">
        <f>0.871*60</f>
        <v>52.26</v>
      </c>
      <c r="G30" s="171" t="s">
        <v>33</v>
      </c>
      <c r="H30" s="126">
        <f t="shared" si="2"/>
        <v>32.08714638582922</v>
      </c>
      <c r="I30" s="126">
        <f t="shared" si="0"/>
        <v>59.43609082201767</v>
      </c>
      <c r="J30" s="119">
        <f t="shared" si="3"/>
        <v>8972.882270180316</v>
      </c>
      <c r="K30" s="172">
        <v>5100</v>
      </c>
      <c r="L30" s="172">
        <f t="shared" si="9"/>
        <v>5.95</v>
      </c>
      <c r="M30" s="170">
        <v>0.15</v>
      </c>
      <c r="N30" s="122">
        <f t="shared" si="4"/>
        <v>20.606637239351528</v>
      </c>
      <c r="O30" s="122">
        <f t="shared" si="5"/>
        <v>20.860803906018194</v>
      </c>
      <c r="P30" s="123">
        <f t="shared" si="6"/>
        <v>3.565238487314358</v>
      </c>
      <c r="Q30" s="116">
        <v>9</v>
      </c>
      <c r="R30" s="130">
        <f t="shared" si="7"/>
        <v>500.6592937444363</v>
      </c>
      <c r="S30" s="116">
        <f t="shared" si="1"/>
        <v>20.86080390601818</v>
      </c>
      <c r="T30" s="172" t="e">
        <f t="shared" si="10"/>
        <v>#N/A</v>
      </c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</row>
    <row r="31" spans="1:45" s="173" customFormat="1" ht="12">
      <c r="A31" s="168">
        <f t="shared" si="8"/>
        <v>24</v>
      </c>
      <c r="B31" s="169">
        <v>34</v>
      </c>
      <c r="C31" s="170">
        <f>0.74*60</f>
        <v>44.4</v>
      </c>
      <c r="D31" s="171" t="s">
        <v>32</v>
      </c>
      <c r="E31" s="169">
        <v>66</v>
      </c>
      <c r="F31" s="170">
        <f>0.58*60</f>
        <v>34.8</v>
      </c>
      <c r="G31" s="171" t="s">
        <v>33</v>
      </c>
      <c r="H31" s="126">
        <f t="shared" si="2"/>
        <v>32.587630832978824</v>
      </c>
      <c r="I31" s="126">
        <f t="shared" si="0"/>
        <v>60.36315484628778</v>
      </c>
      <c r="J31" s="119">
        <f t="shared" si="3"/>
        <v>9033.245425026604</v>
      </c>
      <c r="K31" s="172">
        <v>5200</v>
      </c>
      <c r="L31" s="172">
        <f t="shared" si="9"/>
        <v>6.066666666666666</v>
      </c>
      <c r="M31" s="170">
        <v>0.15</v>
      </c>
      <c r="N31" s="122">
        <f t="shared" si="4"/>
        <v>21.011672567281984</v>
      </c>
      <c r="O31" s="122">
        <f t="shared" si="5"/>
        <v>21.270700345059762</v>
      </c>
      <c r="P31" s="123">
        <f t="shared" si="6"/>
        <v>3.6208478703309805</v>
      </c>
      <c r="Q31" s="116">
        <v>9</v>
      </c>
      <c r="R31" s="130">
        <f t="shared" si="7"/>
        <v>510.4968082814339</v>
      </c>
      <c r="S31" s="116">
        <f t="shared" si="1"/>
        <v>21.270700345059748</v>
      </c>
      <c r="T31" s="172" t="e">
        <f t="shared" si="10"/>
        <v>#N/A</v>
      </c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</row>
    <row r="32" spans="1:45" s="173" customFormat="1" ht="12">
      <c r="A32" s="168">
        <f t="shared" si="8"/>
        <v>25</v>
      </c>
      <c r="B32" s="169">
        <v>34</v>
      </c>
      <c r="C32" s="170">
        <f>0.26*60</f>
        <v>15.600000000000001</v>
      </c>
      <c r="D32" s="171" t="s">
        <v>32</v>
      </c>
      <c r="E32" s="169">
        <v>66</v>
      </c>
      <c r="F32" s="170">
        <f>0.292*60</f>
        <v>17.52</v>
      </c>
      <c r="G32" s="171" t="s">
        <v>33</v>
      </c>
      <c r="H32" s="126">
        <f t="shared" si="2"/>
        <v>32.12849582886462</v>
      </c>
      <c r="I32" s="126">
        <f t="shared" si="0"/>
        <v>59.51268377366691</v>
      </c>
      <c r="J32" s="119">
        <f t="shared" si="3"/>
        <v>9092.75810880027</v>
      </c>
      <c r="K32" s="172">
        <v>5215</v>
      </c>
      <c r="L32" s="172">
        <f t="shared" si="9"/>
        <v>6.0841666666666665</v>
      </c>
      <c r="M32" s="170">
        <v>0.15</v>
      </c>
      <c r="N32" s="122">
        <f t="shared" si="4"/>
        <v>21.419443381304504</v>
      </c>
      <c r="O32" s="122">
        <f t="shared" si="5"/>
        <v>21.679200325748948</v>
      </c>
      <c r="P32" s="123">
        <f t="shared" si="6"/>
        <v>3.569832869873847</v>
      </c>
      <c r="Q32" s="116">
        <v>9</v>
      </c>
      <c r="R32" s="130">
        <f t="shared" si="7"/>
        <v>520.3008078179744</v>
      </c>
      <c r="S32" s="116">
        <f t="shared" si="1"/>
        <v>21.679200325748933</v>
      </c>
      <c r="T32" s="172" t="e">
        <f t="shared" si="10"/>
        <v>#N/A</v>
      </c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</row>
    <row r="33" spans="1:45" s="173" customFormat="1" ht="12">
      <c r="A33" s="168">
        <f t="shared" si="8"/>
        <v>26</v>
      </c>
      <c r="B33" s="169">
        <v>33</v>
      </c>
      <c r="C33" s="170">
        <f>0.785*60</f>
        <v>47.1</v>
      </c>
      <c r="D33" s="171" t="s">
        <v>32</v>
      </c>
      <c r="E33" s="169">
        <v>65</v>
      </c>
      <c r="F33" s="170">
        <f>0.995*60</f>
        <v>59.7</v>
      </c>
      <c r="G33" s="171" t="s">
        <v>33</v>
      </c>
      <c r="H33" s="126">
        <f t="shared" si="2"/>
        <v>32.09962710737416</v>
      </c>
      <c r="I33" s="126">
        <f t="shared" si="0"/>
        <v>59.459209278559406</v>
      </c>
      <c r="J33" s="119">
        <f t="shared" si="3"/>
        <v>9152.217318078829</v>
      </c>
      <c r="K33" s="172">
        <v>5100</v>
      </c>
      <c r="L33" s="172">
        <f t="shared" si="9"/>
        <v>5.95</v>
      </c>
      <c r="M33" s="170">
        <v>0.15</v>
      </c>
      <c r="N33" s="122">
        <f t="shared" si="4"/>
        <v>21.82780971050531</v>
      </c>
      <c r="O33" s="122">
        <f t="shared" si="5"/>
        <v>22.081976377171976</v>
      </c>
      <c r="P33" s="123">
        <f t="shared" si="6"/>
        <v>3.5666252341526845</v>
      </c>
      <c r="Q33" s="116">
        <v>9</v>
      </c>
      <c r="R33" s="130">
        <f t="shared" si="7"/>
        <v>529.967433052127</v>
      </c>
      <c r="S33" s="116">
        <f t="shared" si="1"/>
        <v>22.08197637717196</v>
      </c>
      <c r="T33" s="172" t="e">
        <f t="shared" si="10"/>
        <v>#N/A</v>
      </c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</row>
    <row r="34" spans="8:19" ht="12">
      <c r="H34" s="126">
        <f t="shared" si="2"/>
        <v>4214.267265752993</v>
      </c>
      <c r="I34" s="126">
        <f t="shared" si="0"/>
        <v>7806.227731929795</v>
      </c>
      <c r="J34" s="119">
        <f t="shared" si="3"/>
        <v>16958.445050008624</v>
      </c>
      <c r="N34" s="122" t="e">
        <f t="shared" si="4"/>
        <v>#DIV/0!</v>
      </c>
      <c r="O34" s="122" t="e">
        <f t="shared" si="5"/>
        <v>#DIV/0!</v>
      </c>
      <c r="P34" s="123" t="e">
        <f t="shared" si="6"/>
        <v>#DIV/0!</v>
      </c>
      <c r="R34" s="130" t="e">
        <f t="shared" si="7"/>
        <v>#DIV/0!</v>
      </c>
      <c r="S34" s="116" t="e">
        <f t="shared" si="1"/>
        <v>#DIV/0!</v>
      </c>
    </row>
    <row r="35" spans="8:19" ht="12">
      <c r="H35" s="126">
        <f t="shared" si="2"/>
        <v>0</v>
      </c>
      <c r="I35" s="126">
        <f t="shared" si="0"/>
        <v>0</v>
      </c>
      <c r="J35" s="119">
        <f t="shared" si="3"/>
        <v>16958.445050008624</v>
      </c>
      <c r="N35" s="122" t="e">
        <f t="shared" si="4"/>
        <v>#DIV/0!</v>
      </c>
      <c r="O35" s="122" t="e">
        <f t="shared" si="5"/>
        <v>#DIV/0!</v>
      </c>
      <c r="P35" s="123" t="e">
        <f t="shared" si="6"/>
        <v>#DIV/0!</v>
      </c>
      <c r="R35" s="130" t="e">
        <f t="shared" si="7"/>
        <v>#DIV/0!</v>
      </c>
      <c r="S35" s="116" t="e">
        <f t="shared" si="1"/>
        <v>#DIV/0!</v>
      </c>
    </row>
    <row r="36" spans="8:19" ht="12">
      <c r="H36" s="126">
        <f t="shared" si="2"/>
        <v>0</v>
      </c>
      <c r="I36" s="126">
        <f t="shared" si="0"/>
        <v>0</v>
      </c>
      <c r="J36" s="119">
        <f t="shared" si="3"/>
        <v>16958.445050008624</v>
      </c>
      <c r="N36" s="122" t="e">
        <f t="shared" si="4"/>
        <v>#DIV/0!</v>
      </c>
      <c r="O36" s="122" t="e">
        <f t="shared" si="5"/>
        <v>#DIV/0!</v>
      </c>
      <c r="P36" s="123" t="e">
        <f t="shared" si="6"/>
        <v>#DIV/0!</v>
      </c>
      <c r="R36" s="130" t="e">
        <f t="shared" si="7"/>
        <v>#DIV/0!</v>
      </c>
      <c r="S36" s="116" t="e">
        <f t="shared" si="1"/>
        <v>#DIV/0!</v>
      </c>
    </row>
    <row r="37" spans="8:19" ht="12">
      <c r="H37" s="126">
        <f t="shared" si="2"/>
        <v>0</v>
      </c>
      <c r="I37" s="126">
        <f t="shared" si="0"/>
        <v>0</v>
      </c>
      <c r="J37" s="119">
        <f t="shared" si="3"/>
        <v>16958.445050008624</v>
      </c>
      <c r="N37" s="122" t="e">
        <f t="shared" si="4"/>
        <v>#DIV/0!</v>
      </c>
      <c r="O37" s="122" t="e">
        <f t="shared" si="5"/>
        <v>#DIV/0!</v>
      </c>
      <c r="P37" s="123" t="e">
        <f t="shared" si="6"/>
        <v>#DIV/0!</v>
      </c>
      <c r="R37" s="130" t="e">
        <f t="shared" si="7"/>
        <v>#DIV/0!</v>
      </c>
      <c r="S37" s="116" t="e">
        <f t="shared" si="1"/>
        <v>#DIV/0!</v>
      </c>
    </row>
    <row r="38" spans="8:19" ht="12">
      <c r="H38" s="126">
        <f t="shared" si="2"/>
        <v>0</v>
      </c>
      <c r="I38" s="126">
        <f t="shared" si="0"/>
        <v>0</v>
      </c>
      <c r="J38" s="119">
        <f t="shared" si="3"/>
        <v>16958.445050008624</v>
      </c>
      <c r="N38" s="122" t="e">
        <f t="shared" si="4"/>
        <v>#DIV/0!</v>
      </c>
      <c r="O38" s="122" t="e">
        <f t="shared" si="5"/>
        <v>#DIV/0!</v>
      </c>
      <c r="P38" s="123" t="e">
        <f t="shared" si="6"/>
        <v>#DIV/0!</v>
      </c>
      <c r="R38" s="130" t="e">
        <f t="shared" si="7"/>
        <v>#DIV/0!</v>
      </c>
      <c r="S38" s="116" t="e">
        <f t="shared" si="1"/>
        <v>#DIV/0!</v>
      </c>
    </row>
    <row r="39" spans="8:19" ht="12">
      <c r="H39" s="126">
        <f t="shared" si="2"/>
        <v>0</v>
      </c>
      <c r="I39" s="126">
        <f t="shared" si="0"/>
        <v>0</v>
      </c>
      <c r="J39" s="119">
        <f t="shared" si="3"/>
        <v>16958.445050008624</v>
      </c>
      <c r="N39" s="122" t="e">
        <f t="shared" si="4"/>
        <v>#DIV/0!</v>
      </c>
      <c r="O39" s="122" t="e">
        <f t="shared" si="5"/>
        <v>#DIV/0!</v>
      </c>
      <c r="P39" s="123" t="e">
        <f t="shared" si="6"/>
        <v>#DIV/0!</v>
      </c>
      <c r="R39" s="130" t="e">
        <f t="shared" si="7"/>
        <v>#DIV/0!</v>
      </c>
      <c r="S39" s="116" t="e">
        <f t="shared" si="1"/>
        <v>#DIV/0!</v>
      </c>
    </row>
    <row r="40" spans="8:19" ht="12">
      <c r="H40" s="126">
        <f t="shared" si="2"/>
        <v>0</v>
      </c>
      <c r="I40" s="126">
        <f t="shared" si="0"/>
        <v>0</v>
      </c>
      <c r="J40" s="119">
        <f t="shared" si="3"/>
        <v>16958.445050008624</v>
      </c>
      <c r="N40" s="122" t="e">
        <f t="shared" si="4"/>
        <v>#DIV/0!</v>
      </c>
      <c r="O40" s="122" t="e">
        <f t="shared" si="5"/>
        <v>#DIV/0!</v>
      </c>
      <c r="P40" s="123" t="e">
        <f t="shared" si="6"/>
        <v>#DIV/0!</v>
      </c>
      <c r="R40" s="130" t="e">
        <f t="shared" si="7"/>
        <v>#DIV/0!</v>
      </c>
      <c r="S40" s="116" t="e">
        <f t="shared" si="1"/>
        <v>#DIV/0!</v>
      </c>
    </row>
    <row r="41" spans="8:19" ht="12">
      <c r="H41" s="126">
        <f t="shared" si="2"/>
        <v>0</v>
      </c>
      <c r="I41" s="126">
        <f t="shared" si="0"/>
        <v>0</v>
      </c>
      <c r="J41" s="119">
        <f t="shared" si="3"/>
        <v>16958.445050008624</v>
      </c>
      <c r="N41" s="122" t="e">
        <f t="shared" si="4"/>
        <v>#DIV/0!</v>
      </c>
      <c r="O41" s="122" t="e">
        <f t="shared" si="5"/>
        <v>#DIV/0!</v>
      </c>
      <c r="P41" s="123" t="e">
        <f t="shared" si="6"/>
        <v>#DIV/0!</v>
      </c>
      <c r="R41" s="130" t="e">
        <f t="shared" si="7"/>
        <v>#DIV/0!</v>
      </c>
      <c r="S41" s="116" t="e">
        <f t="shared" si="1"/>
        <v>#DIV/0!</v>
      </c>
    </row>
    <row r="42" spans="8:19" ht="12">
      <c r="H42" s="126">
        <f t="shared" si="2"/>
        <v>0</v>
      </c>
      <c r="I42" s="126">
        <f t="shared" si="0"/>
        <v>0</v>
      </c>
      <c r="J42" s="119">
        <f t="shared" si="3"/>
        <v>16958.445050008624</v>
      </c>
      <c r="N42" s="122" t="e">
        <f t="shared" si="4"/>
        <v>#DIV/0!</v>
      </c>
      <c r="O42" s="122" t="e">
        <f t="shared" si="5"/>
        <v>#DIV/0!</v>
      </c>
      <c r="P42" s="123" t="e">
        <f t="shared" si="6"/>
        <v>#DIV/0!</v>
      </c>
      <c r="R42" s="130" t="e">
        <f t="shared" si="7"/>
        <v>#DIV/0!</v>
      </c>
      <c r="S42" s="116" t="e">
        <f t="shared" si="1"/>
        <v>#DIV/0!</v>
      </c>
    </row>
    <row r="43" spans="8:19" ht="12">
      <c r="H43" s="126">
        <f t="shared" si="2"/>
        <v>0</v>
      </c>
      <c r="I43" s="126">
        <f t="shared" si="0"/>
        <v>0</v>
      </c>
      <c r="J43" s="119">
        <f t="shared" si="3"/>
        <v>16958.445050008624</v>
      </c>
      <c r="N43" s="122" t="e">
        <f t="shared" si="4"/>
        <v>#DIV/0!</v>
      </c>
      <c r="O43" s="122" t="e">
        <f t="shared" si="5"/>
        <v>#DIV/0!</v>
      </c>
      <c r="P43" s="123" t="e">
        <f t="shared" si="6"/>
        <v>#DIV/0!</v>
      </c>
      <c r="R43" s="130" t="e">
        <f t="shared" si="7"/>
        <v>#DIV/0!</v>
      </c>
      <c r="S43" s="116" t="e">
        <f t="shared" si="1"/>
        <v>#DIV/0!</v>
      </c>
    </row>
    <row r="44" spans="8:19" ht="12">
      <c r="H44" s="126">
        <f t="shared" si="2"/>
        <v>0</v>
      </c>
      <c r="I44" s="126">
        <f t="shared" si="0"/>
        <v>0</v>
      </c>
      <c r="J44" s="119">
        <f t="shared" si="3"/>
        <v>16958.445050008624</v>
      </c>
      <c r="N44" s="122" t="e">
        <f t="shared" si="4"/>
        <v>#DIV/0!</v>
      </c>
      <c r="O44" s="122" t="e">
        <f t="shared" si="5"/>
        <v>#DIV/0!</v>
      </c>
      <c r="P44" s="123" t="e">
        <f t="shared" si="6"/>
        <v>#DIV/0!</v>
      </c>
      <c r="R44" s="130" t="e">
        <f t="shared" si="7"/>
        <v>#DIV/0!</v>
      </c>
      <c r="S44" s="116" t="e">
        <f t="shared" si="1"/>
        <v>#DIV/0!</v>
      </c>
    </row>
    <row r="45" spans="8:19" ht="12">
      <c r="H45" s="126">
        <f t="shared" si="2"/>
        <v>0</v>
      </c>
      <c r="I45" s="126">
        <f t="shared" si="0"/>
        <v>0</v>
      </c>
      <c r="J45" s="119">
        <f t="shared" si="3"/>
        <v>16958.445050008624</v>
      </c>
      <c r="N45" s="122" t="e">
        <f t="shared" si="4"/>
        <v>#DIV/0!</v>
      </c>
      <c r="O45" s="122" t="e">
        <f t="shared" si="5"/>
        <v>#DIV/0!</v>
      </c>
      <c r="P45" s="123" t="e">
        <f t="shared" si="6"/>
        <v>#DIV/0!</v>
      </c>
      <c r="R45" s="130" t="e">
        <f t="shared" si="7"/>
        <v>#DIV/0!</v>
      </c>
      <c r="S45" s="116" t="e">
        <f t="shared" si="1"/>
        <v>#DIV/0!</v>
      </c>
    </row>
    <row r="46" spans="8:19" ht="12">
      <c r="H46" s="126">
        <f t="shared" si="2"/>
        <v>0</v>
      </c>
      <c r="I46" s="126">
        <f t="shared" si="0"/>
        <v>0</v>
      </c>
      <c r="J46" s="119">
        <f t="shared" si="3"/>
        <v>16958.445050008624</v>
      </c>
      <c r="N46" s="122" t="e">
        <f t="shared" si="4"/>
        <v>#DIV/0!</v>
      </c>
      <c r="O46" s="122" t="e">
        <f t="shared" si="5"/>
        <v>#DIV/0!</v>
      </c>
      <c r="P46" s="123" t="e">
        <f t="shared" si="6"/>
        <v>#DIV/0!</v>
      </c>
      <c r="R46" s="130" t="e">
        <f t="shared" si="7"/>
        <v>#DIV/0!</v>
      </c>
      <c r="S46" s="116" t="e">
        <f t="shared" si="1"/>
        <v>#DIV/0!</v>
      </c>
    </row>
    <row r="47" spans="8:19" ht="12">
      <c r="H47" s="126">
        <f t="shared" si="2"/>
        <v>0</v>
      </c>
      <c r="I47" s="126">
        <f t="shared" si="0"/>
        <v>0</v>
      </c>
      <c r="J47" s="119">
        <f t="shared" si="3"/>
        <v>16958.445050008624</v>
      </c>
      <c r="N47" s="122" t="e">
        <f t="shared" si="4"/>
        <v>#DIV/0!</v>
      </c>
      <c r="O47" s="122" t="e">
        <f t="shared" si="5"/>
        <v>#DIV/0!</v>
      </c>
      <c r="P47" s="123" t="e">
        <f t="shared" si="6"/>
        <v>#DIV/0!</v>
      </c>
      <c r="R47" s="130" t="e">
        <f t="shared" si="7"/>
        <v>#DIV/0!</v>
      </c>
      <c r="S47" s="116" t="e">
        <f t="shared" si="1"/>
        <v>#DIV/0!</v>
      </c>
    </row>
    <row r="48" spans="8:19" ht="12">
      <c r="H48" s="126">
        <f t="shared" si="2"/>
        <v>0</v>
      </c>
      <c r="I48" s="126">
        <f t="shared" si="0"/>
        <v>0</v>
      </c>
      <c r="J48" s="119">
        <f t="shared" si="3"/>
        <v>16958.445050008624</v>
      </c>
      <c r="N48" s="122" t="e">
        <f t="shared" si="4"/>
        <v>#DIV/0!</v>
      </c>
      <c r="O48" s="122" t="e">
        <f t="shared" si="5"/>
        <v>#DIV/0!</v>
      </c>
      <c r="P48" s="123" t="e">
        <f t="shared" si="6"/>
        <v>#DIV/0!</v>
      </c>
      <c r="R48" s="130" t="e">
        <f t="shared" si="7"/>
        <v>#DIV/0!</v>
      </c>
      <c r="S48" s="116" t="e">
        <f t="shared" si="1"/>
        <v>#DIV/0!</v>
      </c>
    </row>
    <row r="49" spans="8:19" ht="12">
      <c r="H49" s="126">
        <f t="shared" si="2"/>
        <v>0</v>
      </c>
      <c r="I49" s="126">
        <f t="shared" si="0"/>
        <v>0</v>
      </c>
      <c r="J49" s="119">
        <f t="shared" si="3"/>
        <v>16958.445050008624</v>
      </c>
      <c r="N49" s="122" t="e">
        <f t="shared" si="4"/>
        <v>#DIV/0!</v>
      </c>
      <c r="O49" s="122" t="e">
        <f t="shared" si="5"/>
        <v>#DIV/0!</v>
      </c>
      <c r="P49" s="123" t="e">
        <f t="shared" si="6"/>
        <v>#DIV/0!</v>
      </c>
      <c r="R49" s="130" t="e">
        <f t="shared" si="7"/>
        <v>#DIV/0!</v>
      </c>
      <c r="S49" s="116" t="e">
        <f t="shared" si="1"/>
        <v>#DIV/0!</v>
      </c>
    </row>
    <row r="50" spans="8:19" ht="12">
      <c r="H50" s="126">
        <f t="shared" si="2"/>
        <v>0</v>
      </c>
      <c r="I50" s="126">
        <f t="shared" si="0"/>
        <v>0</v>
      </c>
      <c r="J50" s="119">
        <f t="shared" si="3"/>
        <v>16958.445050008624</v>
      </c>
      <c r="N50" s="122" t="e">
        <f t="shared" si="4"/>
        <v>#DIV/0!</v>
      </c>
      <c r="O50" s="122" t="e">
        <f t="shared" si="5"/>
        <v>#DIV/0!</v>
      </c>
      <c r="P50" s="123" t="e">
        <f t="shared" si="6"/>
        <v>#DIV/0!</v>
      </c>
      <c r="R50" s="130" t="e">
        <f t="shared" si="7"/>
        <v>#DIV/0!</v>
      </c>
      <c r="S50" s="116" t="e">
        <f t="shared" si="1"/>
        <v>#DIV/0!</v>
      </c>
    </row>
    <row r="51" spans="8:19" ht="12">
      <c r="H51" s="126">
        <f t="shared" si="2"/>
        <v>0</v>
      </c>
      <c r="I51" s="126">
        <f t="shared" si="0"/>
        <v>0</v>
      </c>
      <c r="J51" s="119">
        <f t="shared" si="3"/>
        <v>16958.445050008624</v>
      </c>
      <c r="N51" s="122" t="e">
        <f t="shared" si="4"/>
        <v>#DIV/0!</v>
      </c>
      <c r="O51" s="122" t="e">
        <f t="shared" si="5"/>
        <v>#DIV/0!</v>
      </c>
      <c r="P51" s="123" t="e">
        <f t="shared" si="6"/>
        <v>#DIV/0!</v>
      </c>
      <c r="R51" s="130" t="e">
        <f t="shared" si="7"/>
        <v>#DIV/0!</v>
      </c>
      <c r="S51" s="116" t="e">
        <f t="shared" si="1"/>
        <v>#DIV/0!</v>
      </c>
    </row>
    <row r="52" spans="8:19" ht="12">
      <c r="H52" s="126">
        <f t="shared" si="2"/>
        <v>0</v>
      </c>
      <c r="I52" s="126">
        <f t="shared" si="0"/>
        <v>0</v>
      </c>
      <c r="J52" s="119">
        <f t="shared" si="3"/>
        <v>16958.445050008624</v>
      </c>
      <c r="N52" s="122" t="e">
        <f t="shared" si="4"/>
        <v>#DIV/0!</v>
      </c>
      <c r="O52" s="122" t="e">
        <f t="shared" si="5"/>
        <v>#DIV/0!</v>
      </c>
      <c r="P52" s="123" t="e">
        <f t="shared" si="6"/>
        <v>#DIV/0!</v>
      </c>
      <c r="R52" s="130" t="e">
        <f t="shared" si="7"/>
        <v>#DIV/0!</v>
      </c>
      <c r="S52" s="116" t="e">
        <f t="shared" si="1"/>
        <v>#DIV/0!</v>
      </c>
    </row>
    <row r="53" spans="8:19" ht="12">
      <c r="H53" s="126">
        <f t="shared" si="2"/>
        <v>0</v>
      </c>
      <c r="I53" s="126">
        <f t="shared" si="0"/>
        <v>0</v>
      </c>
      <c r="J53" s="119">
        <f t="shared" si="3"/>
        <v>16958.445050008624</v>
      </c>
      <c r="N53" s="122" t="e">
        <f t="shared" si="4"/>
        <v>#DIV/0!</v>
      </c>
      <c r="O53" s="122" t="e">
        <f t="shared" si="5"/>
        <v>#DIV/0!</v>
      </c>
      <c r="P53" s="123" t="e">
        <f t="shared" si="6"/>
        <v>#DIV/0!</v>
      </c>
      <c r="R53" s="130" t="e">
        <f t="shared" si="7"/>
        <v>#DIV/0!</v>
      </c>
      <c r="S53" s="116" t="e">
        <f t="shared" si="1"/>
        <v>#DIV/0!</v>
      </c>
    </row>
    <row r="54" spans="8:19" ht="12">
      <c r="H54" s="126">
        <f t="shared" si="2"/>
        <v>0</v>
      </c>
      <c r="I54" s="126">
        <f t="shared" si="0"/>
        <v>0</v>
      </c>
      <c r="J54" s="119">
        <f t="shared" si="3"/>
        <v>16958.445050008624</v>
      </c>
      <c r="N54" s="122" t="e">
        <f t="shared" si="4"/>
        <v>#DIV/0!</v>
      </c>
      <c r="O54" s="122" t="e">
        <f t="shared" si="5"/>
        <v>#DIV/0!</v>
      </c>
      <c r="P54" s="123" t="e">
        <f t="shared" si="6"/>
        <v>#DIV/0!</v>
      </c>
      <c r="R54" s="130" t="e">
        <f t="shared" si="7"/>
        <v>#DIV/0!</v>
      </c>
      <c r="S54" s="116" t="e">
        <f t="shared" si="1"/>
        <v>#DIV/0!</v>
      </c>
    </row>
    <row r="55" spans="8:19" ht="12">
      <c r="H55" s="126">
        <f t="shared" si="2"/>
        <v>0</v>
      </c>
      <c r="I55" s="126">
        <f t="shared" si="0"/>
        <v>0</v>
      </c>
      <c r="J55" s="119">
        <f t="shared" si="3"/>
        <v>16958.445050008624</v>
      </c>
      <c r="N55" s="122" t="e">
        <f t="shared" si="4"/>
        <v>#DIV/0!</v>
      </c>
      <c r="O55" s="122" t="e">
        <f t="shared" si="5"/>
        <v>#DIV/0!</v>
      </c>
      <c r="P55" s="123" t="e">
        <f t="shared" si="6"/>
        <v>#DIV/0!</v>
      </c>
      <c r="R55" s="130" t="e">
        <f t="shared" si="7"/>
        <v>#DIV/0!</v>
      </c>
      <c r="S55" s="116" t="e">
        <f t="shared" si="1"/>
        <v>#DIV/0!</v>
      </c>
    </row>
    <row r="56" spans="8:19" ht="12">
      <c r="H56" s="126">
        <f t="shared" si="2"/>
        <v>0</v>
      </c>
      <c r="I56" s="126">
        <f t="shared" si="0"/>
        <v>0</v>
      </c>
      <c r="J56" s="119">
        <f t="shared" si="3"/>
        <v>16958.445050008624</v>
      </c>
      <c r="N56" s="122" t="e">
        <f t="shared" si="4"/>
        <v>#DIV/0!</v>
      </c>
      <c r="O56" s="122" t="e">
        <f t="shared" si="5"/>
        <v>#DIV/0!</v>
      </c>
      <c r="P56" s="123" t="e">
        <f t="shared" si="6"/>
        <v>#DIV/0!</v>
      </c>
      <c r="R56" s="130" t="e">
        <f t="shared" si="7"/>
        <v>#DIV/0!</v>
      </c>
      <c r="S56" s="116" t="e">
        <f t="shared" si="1"/>
        <v>#DIV/0!</v>
      </c>
    </row>
    <row r="57" spans="8:19" ht="12">
      <c r="H57" s="126">
        <f t="shared" si="2"/>
        <v>0</v>
      </c>
      <c r="I57" s="126">
        <f t="shared" si="0"/>
        <v>0</v>
      </c>
      <c r="J57" s="119">
        <f t="shared" si="3"/>
        <v>16958.445050008624</v>
      </c>
      <c r="N57" s="122" t="e">
        <f t="shared" si="4"/>
        <v>#DIV/0!</v>
      </c>
      <c r="O57" s="122" t="e">
        <f t="shared" si="5"/>
        <v>#DIV/0!</v>
      </c>
      <c r="P57" s="123" t="e">
        <f t="shared" si="6"/>
        <v>#DIV/0!</v>
      </c>
      <c r="R57" s="130" t="e">
        <f t="shared" si="7"/>
        <v>#DIV/0!</v>
      </c>
      <c r="S57" s="116" t="e">
        <f t="shared" si="1"/>
        <v>#DIV/0!</v>
      </c>
    </row>
    <row r="58" spans="8:19" ht="12">
      <c r="H58" s="126">
        <f t="shared" si="2"/>
        <v>0</v>
      </c>
      <c r="I58" s="126">
        <f t="shared" si="0"/>
        <v>0</v>
      </c>
      <c r="J58" s="119">
        <f t="shared" si="3"/>
        <v>16958.445050008624</v>
      </c>
      <c r="N58" s="122" t="e">
        <f t="shared" si="4"/>
        <v>#DIV/0!</v>
      </c>
      <c r="O58" s="122" t="e">
        <f t="shared" si="5"/>
        <v>#DIV/0!</v>
      </c>
      <c r="P58" s="123" t="e">
        <f t="shared" si="6"/>
        <v>#DIV/0!</v>
      </c>
      <c r="R58" s="130" t="e">
        <f t="shared" si="7"/>
        <v>#DIV/0!</v>
      </c>
      <c r="S58" s="116" t="e">
        <f t="shared" si="1"/>
        <v>#DIV/0!</v>
      </c>
    </row>
    <row r="59" spans="8:19" ht="12">
      <c r="H59" s="126">
        <f t="shared" si="2"/>
        <v>0</v>
      </c>
      <c r="I59" s="126">
        <f t="shared" si="0"/>
        <v>0</v>
      </c>
      <c r="J59" s="119">
        <f t="shared" si="3"/>
        <v>16958.445050008624</v>
      </c>
      <c r="N59" s="122" t="e">
        <f t="shared" si="4"/>
        <v>#DIV/0!</v>
      </c>
      <c r="O59" s="122" t="e">
        <f t="shared" si="5"/>
        <v>#DIV/0!</v>
      </c>
      <c r="P59" s="123" t="e">
        <f t="shared" si="6"/>
        <v>#DIV/0!</v>
      </c>
      <c r="R59" s="130" t="e">
        <f t="shared" si="7"/>
        <v>#DIV/0!</v>
      </c>
      <c r="S59" s="116" t="e">
        <f t="shared" si="1"/>
        <v>#DIV/0!</v>
      </c>
    </row>
    <row r="60" spans="8:19" ht="12">
      <c r="H60" s="126">
        <f t="shared" si="2"/>
        <v>0</v>
      </c>
      <c r="I60" s="126">
        <f t="shared" si="0"/>
        <v>0</v>
      </c>
      <c r="J60" s="119">
        <f t="shared" si="3"/>
        <v>16958.445050008624</v>
      </c>
      <c r="N60" s="122" t="e">
        <f t="shared" si="4"/>
        <v>#DIV/0!</v>
      </c>
      <c r="O60" s="122" t="e">
        <f t="shared" si="5"/>
        <v>#DIV/0!</v>
      </c>
      <c r="P60" s="123" t="e">
        <f t="shared" si="6"/>
        <v>#DIV/0!</v>
      </c>
      <c r="R60" s="130" t="e">
        <f t="shared" si="7"/>
        <v>#DIV/0!</v>
      </c>
      <c r="S60" s="116" t="e">
        <f t="shared" si="1"/>
        <v>#DIV/0!</v>
      </c>
    </row>
    <row r="61" spans="8:19" ht="12">
      <c r="H61" s="126">
        <f t="shared" si="2"/>
        <v>0</v>
      </c>
      <c r="I61" s="126">
        <f t="shared" si="0"/>
        <v>0</v>
      </c>
      <c r="J61" s="119">
        <f t="shared" si="3"/>
        <v>16958.445050008624</v>
      </c>
      <c r="N61" s="122" t="e">
        <f t="shared" si="4"/>
        <v>#DIV/0!</v>
      </c>
      <c r="O61" s="122" t="e">
        <f t="shared" si="5"/>
        <v>#DIV/0!</v>
      </c>
      <c r="P61" s="123" t="e">
        <f t="shared" si="6"/>
        <v>#DIV/0!</v>
      </c>
      <c r="R61" s="130" t="e">
        <f t="shared" si="7"/>
        <v>#DIV/0!</v>
      </c>
      <c r="S61" s="116" t="e">
        <f t="shared" si="1"/>
        <v>#DIV/0!</v>
      </c>
    </row>
    <row r="62" spans="8:19" ht="12">
      <c r="H62" s="126">
        <f t="shared" si="2"/>
        <v>0</v>
      </c>
      <c r="I62" s="126">
        <f t="shared" si="0"/>
        <v>0</v>
      </c>
      <c r="J62" s="119">
        <f t="shared" si="3"/>
        <v>16958.445050008624</v>
      </c>
      <c r="N62" s="122" t="e">
        <f t="shared" si="4"/>
        <v>#DIV/0!</v>
      </c>
      <c r="O62" s="122" t="e">
        <f t="shared" si="5"/>
        <v>#DIV/0!</v>
      </c>
      <c r="P62" s="123" t="e">
        <f t="shared" si="6"/>
        <v>#DIV/0!</v>
      </c>
      <c r="R62" s="130" t="e">
        <f t="shared" si="7"/>
        <v>#DIV/0!</v>
      </c>
      <c r="S62" s="116" t="e">
        <f t="shared" si="1"/>
        <v>#DIV/0!</v>
      </c>
    </row>
    <row r="63" spans="8:19" ht="12">
      <c r="H63" s="126">
        <f t="shared" si="2"/>
        <v>0</v>
      </c>
      <c r="I63" s="126">
        <f t="shared" si="0"/>
        <v>0</v>
      </c>
      <c r="J63" s="119">
        <f t="shared" si="3"/>
        <v>16958.445050008624</v>
      </c>
      <c r="N63" s="122" t="e">
        <f t="shared" si="4"/>
        <v>#DIV/0!</v>
      </c>
      <c r="O63" s="122" t="e">
        <f t="shared" si="5"/>
        <v>#DIV/0!</v>
      </c>
      <c r="P63" s="123" t="e">
        <f t="shared" si="6"/>
        <v>#DIV/0!</v>
      </c>
      <c r="R63" s="130" t="e">
        <f t="shared" si="7"/>
        <v>#DIV/0!</v>
      </c>
      <c r="S63" s="116" t="e">
        <f t="shared" si="1"/>
        <v>#DIV/0!</v>
      </c>
    </row>
    <row r="64" spans="8:19" ht="12">
      <c r="H64" s="126">
        <f t="shared" si="2"/>
        <v>0</v>
      </c>
      <c r="I64" s="126">
        <f t="shared" si="0"/>
        <v>0</v>
      </c>
      <c r="J64" s="119">
        <f t="shared" si="3"/>
        <v>16958.445050008624</v>
      </c>
      <c r="N64" s="122" t="e">
        <f t="shared" si="4"/>
        <v>#DIV/0!</v>
      </c>
      <c r="O64" s="122" t="e">
        <f t="shared" si="5"/>
        <v>#DIV/0!</v>
      </c>
      <c r="P64" s="123" t="e">
        <f t="shared" si="6"/>
        <v>#DIV/0!</v>
      </c>
      <c r="R64" s="130" t="e">
        <f t="shared" si="7"/>
        <v>#DIV/0!</v>
      </c>
      <c r="S64" s="116" t="e">
        <f t="shared" si="1"/>
        <v>#DIV/0!</v>
      </c>
    </row>
    <row r="65" spans="8:19" ht="12">
      <c r="H65" s="126">
        <f t="shared" si="2"/>
        <v>0</v>
      </c>
      <c r="I65" s="126">
        <f t="shared" si="0"/>
        <v>0</v>
      </c>
      <c r="J65" s="119">
        <f t="shared" si="3"/>
        <v>16958.445050008624</v>
      </c>
      <c r="N65" s="122" t="e">
        <f t="shared" si="4"/>
        <v>#DIV/0!</v>
      </c>
      <c r="O65" s="122" t="e">
        <f t="shared" si="5"/>
        <v>#DIV/0!</v>
      </c>
      <c r="P65" s="123" t="e">
        <f t="shared" si="6"/>
        <v>#DIV/0!</v>
      </c>
      <c r="R65" s="130" t="e">
        <f t="shared" si="7"/>
        <v>#DIV/0!</v>
      </c>
      <c r="S65" s="116" t="e">
        <f t="shared" si="1"/>
        <v>#DIV/0!</v>
      </c>
    </row>
    <row r="66" spans="8:19" ht="12">
      <c r="H66" s="126">
        <f t="shared" si="2"/>
        <v>0</v>
      </c>
      <c r="I66" s="126">
        <f t="shared" si="0"/>
        <v>0</v>
      </c>
      <c r="J66" s="119">
        <f t="shared" si="3"/>
        <v>16958.445050008624</v>
      </c>
      <c r="N66" s="122" t="e">
        <f t="shared" si="4"/>
        <v>#DIV/0!</v>
      </c>
      <c r="O66" s="122" t="e">
        <f t="shared" si="5"/>
        <v>#DIV/0!</v>
      </c>
      <c r="P66" s="123" t="e">
        <f t="shared" si="6"/>
        <v>#DIV/0!</v>
      </c>
      <c r="R66" s="130" t="e">
        <f t="shared" si="7"/>
        <v>#DIV/0!</v>
      </c>
      <c r="S66" s="116" t="e">
        <f t="shared" si="1"/>
        <v>#DIV/0!</v>
      </c>
    </row>
    <row r="67" spans="8:19" ht="12">
      <c r="H67" s="126">
        <f t="shared" si="2"/>
        <v>0</v>
      </c>
      <c r="I67" s="126">
        <f t="shared" si="0"/>
        <v>0</v>
      </c>
      <c r="J67" s="119">
        <f t="shared" si="3"/>
        <v>16958.445050008624</v>
      </c>
      <c r="N67" s="122" t="e">
        <f t="shared" si="4"/>
        <v>#DIV/0!</v>
      </c>
      <c r="O67" s="122" t="e">
        <f t="shared" si="5"/>
        <v>#DIV/0!</v>
      </c>
      <c r="P67" s="123" t="e">
        <f t="shared" si="6"/>
        <v>#DIV/0!</v>
      </c>
      <c r="R67" s="130" t="e">
        <f t="shared" si="7"/>
        <v>#DIV/0!</v>
      </c>
      <c r="S67" s="116" t="e">
        <f t="shared" si="1"/>
        <v>#DIV/0!</v>
      </c>
    </row>
    <row r="68" spans="8:19" ht="12">
      <c r="H68" s="126">
        <f t="shared" si="2"/>
        <v>0</v>
      </c>
      <c r="I68" s="126">
        <f t="shared" si="0"/>
        <v>0</v>
      </c>
      <c r="J68" s="119">
        <f t="shared" si="3"/>
        <v>16958.445050008624</v>
      </c>
      <c r="N68" s="122" t="e">
        <f t="shared" si="4"/>
        <v>#DIV/0!</v>
      </c>
      <c r="O68" s="122" t="e">
        <f t="shared" si="5"/>
        <v>#DIV/0!</v>
      </c>
      <c r="P68" s="123" t="e">
        <f t="shared" si="6"/>
        <v>#DIV/0!</v>
      </c>
      <c r="R68" s="130" t="e">
        <f t="shared" si="7"/>
        <v>#DIV/0!</v>
      </c>
      <c r="S68" s="116" t="e">
        <f t="shared" si="1"/>
        <v>#DIV/0!</v>
      </c>
    </row>
    <row r="69" spans="8:19" ht="12">
      <c r="H69" s="126">
        <f t="shared" si="2"/>
        <v>0</v>
      </c>
      <c r="I69" s="126">
        <f t="shared" si="0"/>
        <v>0</v>
      </c>
      <c r="J69" s="119">
        <f t="shared" si="3"/>
        <v>16958.445050008624</v>
      </c>
      <c r="N69" s="122" t="e">
        <f t="shared" si="4"/>
        <v>#DIV/0!</v>
      </c>
      <c r="O69" s="122" t="e">
        <f t="shared" si="5"/>
        <v>#DIV/0!</v>
      </c>
      <c r="P69" s="123" t="e">
        <f t="shared" si="6"/>
        <v>#DIV/0!</v>
      </c>
      <c r="R69" s="130" t="e">
        <f t="shared" si="7"/>
        <v>#DIV/0!</v>
      </c>
      <c r="S69" s="116" t="e">
        <f t="shared" si="1"/>
        <v>#DIV/0!</v>
      </c>
    </row>
    <row r="70" spans="8:19" ht="12">
      <c r="H70" s="126">
        <f t="shared" si="2"/>
        <v>0</v>
      </c>
      <c r="I70" s="126">
        <f t="shared" si="0"/>
        <v>0</v>
      </c>
      <c r="J70" s="119">
        <f t="shared" si="3"/>
        <v>16958.445050008624</v>
      </c>
      <c r="N70" s="122" t="e">
        <f t="shared" si="4"/>
        <v>#DIV/0!</v>
      </c>
      <c r="O70" s="122" t="e">
        <f t="shared" si="5"/>
        <v>#DIV/0!</v>
      </c>
      <c r="P70" s="123" t="e">
        <f t="shared" si="6"/>
        <v>#DIV/0!</v>
      </c>
      <c r="R70" s="130" t="e">
        <f t="shared" si="7"/>
        <v>#DIV/0!</v>
      </c>
      <c r="S70" s="116" t="e">
        <f t="shared" si="1"/>
        <v>#DIV/0!</v>
      </c>
    </row>
    <row r="71" spans="8:19" ht="12">
      <c r="H71" s="126">
        <f t="shared" si="2"/>
        <v>0</v>
      </c>
      <c r="I71" s="126">
        <f t="shared" si="0"/>
        <v>0</v>
      </c>
      <c r="J71" s="119">
        <f t="shared" si="3"/>
        <v>16958.445050008624</v>
      </c>
      <c r="N71" s="122" t="e">
        <f t="shared" si="4"/>
        <v>#DIV/0!</v>
      </c>
      <c r="O71" s="122" t="e">
        <f t="shared" si="5"/>
        <v>#DIV/0!</v>
      </c>
      <c r="P71" s="123" t="e">
        <f t="shared" si="6"/>
        <v>#DIV/0!</v>
      </c>
      <c r="R71" s="130" t="e">
        <f t="shared" si="7"/>
        <v>#DIV/0!</v>
      </c>
      <c r="S71" s="116" t="e">
        <f t="shared" si="1"/>
        <v>#DIV/0!</v>
      </c>
    </row>
    <row r="72" spans="8:19" ht="12">
      <c r="H72" s="126">
        <f aca="true" t="shared" si="11" ref="H72:H135">ACOS((COS(PI()/180*(90-(B71+C71/60)))*COS(PI()/180*(90-(B72+C72/60))))+(SIN(PI()/180*(90-(B71+C71/60)))*SIN(PI()/180*(90-(B72+C72/60)))*COS(ABS(PI()/180*((E71+(F71/60))-(E72+(F72/60)))))))*180/PI()*60</f>
        <v>0</v>
      </c>
      <c r="I72" s="126">
        <f t="shared" si="0"/>
        <v>0</v>
      </c>
      <c r="J72" s="119">
        <f aca="true" t="shared" si="12" ref="J72:J135">J71+I72</f>
        <v>16958.445050008624</v>
      </c>
      <c r="N72" s="122" t="e">
        <f aca="true" t="shared" si="13" ref="N72:N135">O71+P72/24</f>
        <v>#DIV/0!</v>
      </c>
      <c r="O72" s="122" t="e">
        <f aca="true" t="shared" si="14" ref="O72:O135">N72+(L72+M72)/24</f>
        <v>#DIV/0!</v>
      </c>
      <c r="P72" s="123" t="e">
        <f aca="true" t="shared" si="15" ref="P72:P135">H72/Q72</f>
        <v>#DIV/0!</v>
      </c>
      <c r="R72" s="130" t="e">
        <f aca="true" t="shared" si="16" ref="R72:R135">R71+P72+L72+M72</f>
        <v>#DIV/0!</v>
      </c>
      <c r="S72" s="116" t="e">
        <f t="shared" si="1"/>
        <v>#DIV/0!</v>
      </c>
    </row>
    <row r="73" spans="8:19" ht="12">
      <c r="H73" s="126">
        <f t="shared" si="11"/>
        <v>0</v>
      </c>
      <c r="I73" s="126">
        <f t="shared" si="0"/>
        <v>0</v>
      </c>
      <c r="J73" s="119">
        <f t="shared" si="12"/>
        <v>16958.445050008624</v>
      </c>
      <c r="N73" s="122" t="e">
        <f t="shared" si="13"/>
        <v>#DIV/0!</v>
      </c>
      <c r="O73" s="122" t="e">
        <f t="shared" si="14"/>
        <v>#DIV/0!</v>
      </c>
      <c r="P73" s="123" t="e">
        <f t="shared" si="15"/>
        <v>#DIV/0!</v>
      </c>
      <c r="R73" s="130" t="e">
        <f t="shared" si="16"/>
        <v>#DIV/0!</v>
      </c>
      <c r="S73" s="116" t="e">
        <f t="shared" si="1"/>
        <v>#DIV/0!</v>
      </c>
    </row>
    <row r="74" spans="8:19" ht="12">
      <c r="H74" s="126">
        <f t="shared" si="11"/>
        <v>0</v>
      </c>
      <c r="I74" s="126">
        <f t="shared" si="0"/>
        <v>0</v>
      </c>
      <c r="J74" s="119">
        <f t="shared" si="12"/>
        <v>16958.445050008624</v>
      </c>
      <c r="N74" s="122" t="e">
        <f t="shared" si="13"/>
        <v>#DIV/0!</v>
      </c>
      <c r="O74" s="122" t="e">
        <f t="shared" si="14"/>
        <v>#DIV/0!</v>
      </c>
      <c r="P74" s="123" t="e">
        <f t="shared" si="15"/>
        <v>#DIV/0!</v>
      </c>
      <c r="R74" s="130" t="e">
        <f t="shared" si="16"/>
        <v>#DIV/0!</v>
      </c>
      <c r="S74" s="116" t="e">
        <f t="shared" si="1"/>
        <v>#DIV/0!</v>
      </c>
    </row>
    <row r="75" spans="8:19" ht="12">
      <c r="H75" s="126">
        <f t="shared" si="11"/>
        <v>0</v>
      </c>
      <c r="I75" s="126">
        <f t="shared" si="0"/>
        <v>0</v>
      </c>
      <c r="J75" s="119">
        <f t="shared" si="12"/>
        <v>16958.445050008624</v>
      </c>
      <c r="N75" s="122" t="e">
        <f t="shared" si="13"/>
        <v>#DIV/0!</v>
      </c>
      <c r="O75" s="122" t="e">
        <f t="shared" si="14"/>
        <v>#DIV/0!</v>
      </c>
      <c r="P75" s="123" t="e">
        <f t="shared" si="15"/>
        <v>#DIV/0!</v>
      </c>
      <c r="R75" s="130" t="e">
        <f t="shared" si="16"/>
        <v>#DIV/0!</v>
      </c>
      <c r="S75" s="116" t="e">
        <f t="shared" si="1"/>
        <v>#DIV/0!</v>
      </c>
    </row>
    <row r="76" spans="8:19" ht="12">
      <c r="H76" s="126">
        <f t="shared" si="11"/>
        <v>0</v>
      </c>
      <c r="I76" s="126">
        <f t="shared" si="0"/>
        <v>0</v>
      </c>
      <c r="J76" s="119">
        <f t="shared" si="12"/>
        <v>16958.445050008624</v>
      </c>
      <c r="N76" s="122" t="e">
        <f t="shared" si="13"/>
        <v>#DIV/0!</v>
      </c>
      <c r="O76" s="122" t="e">
        <f t="shared" si="14"/>
        <v>#DIV/0!</v>
      </c>
      <c r="P76" s="123" t="e">
        <f t="shared" si="15"/>
        <v>#DIV/0!</v>
      </c>
      <c r="R76" s="130" t="e">
        <f t="shared" si="16"/>
        <v>#DIV/0!</v>
      </c>
      <c r="S76" s="116" t="e">
        <f t="shared" si="1"/>
        <v>#DIV/0!</v>
      </c>
    </row>
    <row r="77" spans="8:19" ht="12">
      <c r="H77" s="126">
        <f t="shared" si="11"/>
        <v>0</v>
      </c>
      <c r="I77" s="126">
        <f t="shared" si="0"/>
        <v>0</v>
      </c>
      <c r="J77" s="119">
        <f t="shared" si="12"/>
        <v>16958.445050008624</v>
      </c>
      <c r="N77" s="122" t="e">
        <f t="shared" si="13"/>
        <v>#DIV/0!</v>
      </c>
      <c r="O77" s="122" t="e">
        <f t="shared" si="14"/>
        <v>#DIV/0!</v>
      </c>
      <c r="P77" s="123" t="e">
        <f t="shared" si="15"/>
        <v>#DIV/0!</v>
      </c>
      <c r="R77" s="130" t="e">
        <f t="shared" si="16"/>
        <v>#DIV/0!</v>
      </c>
      <c r="S77" s="116" t="e">
        <f t="shared" si="1"/>
        <v>#DIV/0!</v>
      </c>
    </row>
    <row r="78" spans="8:19" ht="12">
      <c r="H78" s="126">
        <f t="shared" si="11"/>
        <v>0</v>
      </c>
      <c r="I78" s="126">
        <f t="shared" si="0"/>
        <v>0</v>
      </c>
      <c r="J78" s="119">
        <f t="shared" si="12"/>
        <v>16958.445050008624</v>
      </c>
      <c r="N78" s="122" t="e">
        <f t="shared" si="13"/>
        <v>#DIV/0!</v>
      </c>
      <c r="O78" s="122" t="e">
        <f t="shared" si="14"/>
        <v>#DIV/0!</v>
      </c>
      <c r="P78" s="123" t="e">
        <f t="shared" si="15"/>
        <v>#DIV/0!</v>
      </c>
      <c r="R78" s="130" t="e">
        <f t="shared" si="16"/>
        <v>#DIV/0!</v>
      </c>
      <c r="S78" s="116" t="e">
        <f t="shared" si="1"/>
        <v>#DIV/0!</v>
      </c>
    </row>
    <row r="79" spans="8:19" ht="12">
      <c r="H79" s="126">
        <f t="shared" si="11"/>
        <v>0</v>
      </c>
      <c r="I79" s="126">
        <f t="shared" si="0"/>
        <v>0</v>
      </c>
      <c r="J79" s="119">
        <f t="shared" si="12"/>
        <v>16958.445050008624</v>
      </c>
      <c r="N79" s="122" t="e">
        <f t="shared" si="13"/>
        <v>#DIV/0!</v>
      </c>
      <c r="O79" s="122" t="e">
        <f t="shared" si="14"/>
        <v>#DIV/0!</v>
      </c>
      <c r="P79" s="123" t="e">
        <f t="shared" si="15"/>
        <v>#DIV/0!</v>
      </c>
      <c r="R79" s="130" t="e">
        <f t="shared" si="16"/>
        <v>#DIV/0!</v>
      </c>
      <c r="S79" s="116" t="e">
        <f t="shared" si="1"/>
        <v>#DIV/0!</v>
      </c>
    </row>
    <row r="80" spans="8:19" ht="12">
      <c r="H80" s="126">
        <f t="shared" si="11"/>
        <v>0</v>
      </c>
      <c r="I80" s="126">
        <f t="shared" si="0"/>
        <v>0</v>
      </c>
      <c r="J80" s="119">
        <f t="shared" si="12"/>
        <v>16958.445050008624</v>
      </c>
      <c r="N80" s="122" t="e">
        <f t="shared" si="13"/>
        <v>#DIV/0!</v>
      </c>
      <c r="O80" s="122" t="e">
        <f t="shared" si="14"/>
        <v>#DIV/0!</v>
      </c>
      <c r="P80" s="123" t="e">
        <f t="shared" si="15"/>
        <v>#DIV/0!</v>
      </c>
      <c r="R80" s="130" t="e">
        <f t="shared" si="16"/>
        <v>#DIV/0!</v>
      </c>
      <c r="S80" s="116" t="e">
        <f t="shared" si="1"/>
        <v>#DIV/0!</v>
      </c>
    </row>
    <row r="81" spans="8:19" ht="12">
      <c r="H81" s="126">
        <f t="shared" si="11"/>
        <v>0</v>
      </c>
      <c r="I81" s="126">
        <f t="shared" si="0"/>
        <v>0</v>
      </c>
      <c r="J81" s="119">
        <f t="shared" si="12"/>
        <v>16958.445050008624</v>
      </c>
      <c r="N81" s="122" t="e">
        <f t="shared" si="13"/>
        <v>#DIV/0!</v>
      </c>
      <c r="O81" s="122" t="e">
        <f t="shared" si="14"/>
        <v>#DIV/0!</v>
      </c>
      <c r="P81" s="123" t="e">
        <f t="shared" si="15"/>
        <v>#DIV/0!</v>
      </c>
      <c r="R81" s="130" t="e">
        <f t="shared" si="16"/>
        <v>#DIV/0!</v>
      </c>
      <c r="S81" s="116" t="e">
        <f t="shared" si="1"/>
        <v>#DIV/0!</v>
      </c>
    </row>
    <row r="82" spans="8:19" ht="12">
      <c r="H82" s="126">
        <f t="shared" si="11"/>
        <v>0</v>
      </c>
      <c r="I82" s="126">
        <f t="shared" si="0"/>
        <v>0</v>
      </c>
      <c r="J82" s="119">
        <f t="shared" si="12"/>
        <v>16958.445050008624</v>
      </c>
      <c r="N82" s="122" t="e">
        <f t="shared" si="13"/>
        <v>#DIV/0!</v>
      </c>
      <c r="O82" s="122" t="e">
        <f t="shared" si="14"/>
        <v>#DIV/0!</v>
      </c>
      <c r="P82" s="123" t="e">
        <f t="shared" si="15"/>
        <v>#DIV/0!</v>
      </c>
      <c r="R82" s="130" t="e">
        <f t="shared" si="16"/>
        <v>#DIV/0!</v>
      </c>
      <c r="S82" s="116" t="e">
        <f t="shared" si="1"/>
        <v>#DIV/0!</v>
      </c>
    </row>
    <row r="83" spans="8:19" ht="12">
      <c r="H83" s="126">
        <f t="shared" si="11"/>
        <v>0</v>
      </c>
      <c r="I83" s="126">
        <f t="shared" si="0"/>
        <v>0</v>
      </c>
      <c r="J83" s="119">
        <f t="shared" si="12"/>
        <v>16958.445050008624</v>
      </c>
      <c r="N83" s="122" t="e">
        <f t="shared" si="13"/>
        <v>#DIV/0!</v>
      </c>
      <c r="O83" s="122" t="e">
        <f t="shared" si="14"/>
        <v>#DIV/0!</v>
      </c>
      <c r="P83" s="123" t="e">
        <f t="shared" si="15"/>
        <v>#DIV/0!</v>
      </c>
      <c r="R83" s="130" t="e">
        <f t="shared" si="16"/>
        <v>#DIV/0!</v>
      </c>
      <c r="S83" s="116" t="e">
        <f t="shared" si="1"/>
        <v>#DIV/0!</v>
      </c>
    </row>
    <row r="84" spans="8:19" ht="12">
      <c r="H84" s="126">
        <f t="shared" si="11"/>
        <v>0</v>
      </c>
      <c r="I84" s="126">
        <f t="shared" si="0"/>
        <v>0</v>
      </c>
      <c r="J84" s="119">
        <f t="shared" si="12"/>
        <v>16958.445050008624</v>
      </c>
      <c r="N84" s="122" t="e">
        <f t="shared" si="13"/>
        <v>#DIV/0!</v>
      </c>
      <c r="O84" s="122" t="e">
        <f t="shared" si="14"/>
        <v>#DIV/0!</v>
      </c>
      <c r="P84" s="123" t="e">
        <f t="shared" si="15"/>
        <v>#DIV/0!</v>
      </c>
      <c r="R84" s="130" t="e">
        <f t="shared" si="16"/>
        <v>#DIV/0!</v>
      </c>
      <c r="S84" s="116" t="e">
        <f t="shared" si="1"/>
        <v>#DIV/0!</v>
      </c>
    </row>
    <row r="85" spans="8:19" ht="12">
      <c r="H85" s="126">
        <f t="shared" si="11"/>
        <v>0</v>
      </c>
      <c r="I85" s="126">
        <f t="shared" si="0"/>
        <v>0</v>
      </c>
      <c r="J85" s="119">
        <f t="shared" si="12"/>
        <v>16958.445050008624</v>
      </c>
      <c r="N85" s="122" t="e">
        <f t="shared" si="13"/>
        <v>#DIV/0!</v>
      </c>
      <c r="O85" s="122" t="e">
        <f t="shared" si="14"/>
        <v>#DIV/0!</v>
      </c>
      <c r="P85" s="123" t="e">
        <f t="shared" si="15"/>
        <v>#DIV/0!</v>
      </c>
      <c r="R85" s="130" t="e">
        <f t="shared" si="16"/>
        <v>#DIV/0!</v>
      </c>
      <c r="S85" s="116" t="e">
        <f t="shared" si="1"/>
        <v>#DIV/0!</v>
      </c>
    </row>
    <row r="86" spans="8:19" ht="12">
      <c r="H86" s="126">
        <f t="shared" si="11"/>
        <v>0</v>
      </c>
      <c r="I86" s="126">
        <f aca="true" t="shared" si="17" ref="I86:I149">H86*111.14/60</f>
        <v>0</v>
      </c>
      <c r="J86" s="119">
        <f t="shared" si="12"/>
        <v>16958.445050008624</v>
      </c>
      <c r="N86" s="122" t="e">
        <f t="shared" si="13"/>
        <v>#DIV/0!</v>
      </c>
      <c r="O86" s="122" t="e">
        <f t="shared" si="14"/>
        <v>#DIV/0!</v>
      </c>
      <c r="P86" s="123" t="e">
        <f t="shared" si="15"/>
        <v>#DIV/0!</v>
      </c>
      <c r="R86" s="130" t="e">
        <f t="shared" si="16"/>
        <v>#DIV/0!</v>
      </c>
      <c r="S86" s="116" t="e">
        <f aca="true" t="shared" si="18" ref="S86:S149">R86/24</f>
        <v>#DIV/0!</v>
      </c>
    </row>
    <row r="87" spans="8:19" ht="12">
      <c r="H87" s="126">
        <f t="shared" si="11"/>
        <v>0</v>
      </c>
      <c r="I87" s="126">
        <f t="shared" si="17"/>
        <v>0</v>
      </c>
      <c r="J87" s="119">
        <f t="shared" si="12"/>
        <v>16958.445050008624</v>
      </c>
      <c r="N87" s="122" t="e">
        <f t="shared" si="13"/>
        <v>#DIV/0!</v>
      </c>
      <c r="O87" s="122" t="e">
        <f t="shared" si="14"/>
        <v>#DIV/0!</v>
      </c>
      <c r="P87" s="123" t="e">
        <f t="shared" si="15"/>
        <v>#DIV/0!</v>
      </c>
      <c r="R87" s="130" t="e">
        <f t="shared" si="16"/>
        <v>#DIV/0!</v>
      </c>
      <c r="S87" s="116" t="e">
        <f t="shared" si="18"/>
        <v>#DIV/0!</v>
      </c>
    </row>
    <row r="88" spans="8:19" ht="12">
      <c r="H88" s="126">
        <f t="shared" si="11"/>
        <v>0</v>
      </c>
      <c r="I88" s="126">
        <f t="shared" si="17"/>
        <v>0</v>
      </c>
      <c r="J88" s="119">
        <f t="shared" si="12"/>
        <v>16958.445050008624</v>
      </c>
      <c r="N88" s="122" t="e">
        <f t="shared" si="13"/>
        <v>#DIV/0!</v>
      </c>
      <c r="O88" s="122" t="e">
        <f t="shared" si="14"/>
        <v>#DIV/0!</v>
      </c>
      <c r="P88" s="123" t="e">
        <f t="shared" si="15"/>
        <v>#DIV/0!</v>
      </c>
      <c r="R88" s="130" t="e">
        <f t="shared" si="16"/>
        <v>#DIV/0!</v>
      </c>
      <c r="S88" s="116" t="e">
        <f t="shared" si="18"/>
        <v>#DIV/0!</v>
      </c>
    </row>
    <row r="89" spans="8:19" ht="12">
      <c r="H89" s="126">
        <f t="shared" si="11"/>
        <v>0</v>
      </c>
      <c r="I89" s="126">
        <f t="shared" si="17"/>
        <v>0</v>
      </c>
      <c r="J89" s="119">
        <f t="shared" si="12"/>
        <v>16958.445050008624</v>
      </c>
      <c r="N89" s="122" t="e">
        <f t="shared" si="13"/>
        <v>#DIV/0!</v>
      </c>
      <c r="O89" s="122" t="e">
        <f t="shared" si="14"/>
        <v>#DIV/0!</v>
      </c>
      <c r="P89" s="123" t="e">
        <f t="shared" si="15"/>
        <v>#DIV/0!</v>
      </c>
      <c r="R89" s="130" t="e">
        <f t="shared" si="16"/>
        <v>#DIV/0!</v>
      </c>
      <c r="S89" s="116" t="e">
        <f t="shared" si="18"/>
        <v>#DIV/0!</v>
      </c>
    </row>
    <row r="90" spans="8:19" ht="12">
      <c r="H90" s="126">
        <f t="shared" si="11"/>
        <v>0</v>
      </c>
      <c r="I90" s="126">
        <f t="shared" si="17"/>
        <v>0</v>
      </c>
      <c r="J90" s="119">
        <f t="shared" si="12"/>
        <v>16958.445050008624</v>
      </c>
      <c r="N90" s="122" t="e">
        <f t="shared" si="13"/>
        <v>#DIV/0!</v>
      </c>
      <c r="O90" s="122" t="e">
        <f t="shared" si="14"/>
        <v>#DIV/0!</v>
      </c>
      <c r="P90" s="123" t="e">
        <f t="shared" si="15"/>
        <v>#DIV/0!</v>
      </c>
      <c r="R90" s="130" t="e">
        <f t="shared" si="16"/>
        <v>#DIV/0!</v>
      </c>
      <c r="S90" s="116" t="e">
        <f t="shared" si="18"/>
        <v>#DIV/0!</v>
      </c>
    </row>
    <row r="91" spans="8:19" ht="12">
      <c r="H91" s="126">
        <f t="shared" si="11"/>
        <v>0</v>
      </c>
      <c r="I91" s="126">
        <f t="shared" si="17"/>
        <v>0</v>
      </c>
      <c r="J91" s="119">
        <f t="shared" si="12"/>
        <v>16958.445050008624</v>
      </c>
      <c r="N91" s="122" t="e">
        <f t="shared" si="13"/>
        <v>#DIV/0!</v>
      </c>
      <c r="O91" s="122" t="e">
        <f t="shared" si="14"/>
        <v>#DIV/0!</v>
      </c>
      <c r="P91" s="123" t="e">
        <f t="shared" si="15"/>
        <v>#DIV/0!</v>
      </c>
      <c r="R91" s="130" t="e">
        <f t="shared" si="16"/>
        <v>#DIV/0!</v>
      </c>
      <c r="S91" s="116" t="e">
        <f t="shared" si="18"/>
        <v>#DIV/0!</v>
      </c>
    </row>
    <row r="92" spans="8:19" ht="12">
      <c r="H92" s="126">
        <f t="shared" si="11"/>
        <v>0</v>
      </c>
      <c r="I92" s="126">
        <f t="shared" si="17"/>
        <v>0</v>
      </c>
      <c r="J92" s="119">
        <f t="shared" si="12"/>
        <v>16958.445050008624</v>
      </c>
      <c r="N92" s="122" t="e">
        <f t="shared" si="13"/>
        <v>#DIV/0!</v>
      </c>
      <c r="O92" s="122" t="e">
        <f t="shared" si="14"/>
        <v>#DIV/0!</v>
      </c>
      <c r="P92" s="123" t="e">
        <f t="shared" si="15"/>
        <v>#DIV/0!</v>
      </c>
      <c r="R92" s="130" t="e">
        <f t="shared" si="16"/>
        <v>#DIV/0!</v>
      </c>
      <c r="S92" s="116" t="e">
        <f t="shared" si="18"/>
        <v>#DIV/0!</v>
      </c>
    </row>
    <row r="93" spans="8:19" ht="12">
      <c r="H93" s="126">
        <f t="shared" si="11"/>
        <v>0</v>
      </c>
      <c r="I93" s="126">
        <f t="shared" si="17"/>
        <v>0</v>
      </c>
      <c r="J93" s="119">
        <f t="shared" si="12"/>
        <v>16958.445050008624</v>
      </c>
      <c r="N93" s="122" t="e">
        <f t="shared" si="13"/>
        <v>#DIV/0!</v>
      </c>
      <c r="O93" s="122" t="e">
        <f t="shared" si="14"/>
        <v>#DIV/0!</v>
      </c>
      <c r="P93" s="123" t="e">
        <f t="shared" si="15"/>
        <v>#DIV/0!</v>
      </c>
      <c r="R93" s="130" t="e">
        <f t="shared" si="16"/>
        <v>#DIV/0!</v>
      </c>
      <c r="S93" s="116" t="e">
        <f t="shared" si="18"/>
        <v>#DIV/0!</v>
      </c>
    </row>
    <row r="94" spans="8:19" ht="12">
      <c r="H94" s="126">
        <f t="shared" si="11"/>
        <v>0</v>
      </c>
      <c r="I94" s="126">
        <f t="shared" si="17"/>
        <v>0</v>
      </c>
      <c r="J94" s="119">
        <f t="shared" si="12"/>
        <v>16958.445050008624</v>
      </c>
      <c r="N94" s="122" t="e">
        <f t="shared" si="13"/>
        <v>#DIV/0!</v>
      </c>
      <c r="O94" s="122" t="e">
        <f t="shared" si="14"/>
        <v>#DIV/0!</v>
      </c>
      <c r="P94" s="123" t="e">
        <f t="shared" si="15"/>
        <v>#DIV/0!</v>
      </c>
      <c r="R94" s="130" t="e">
        <f t="shared" si="16"/>
        <v>#DIV/0!</v>
      </c>
      <c r="S94" s="116" t="e">
        <f t="shared" si="18"/>
        <v>#DIV/0!</v>
      </c>
    </row>
    <row r="95" spans="8:19" ht="12">
      <c r="H95" s="126">
        <f t="shared" si="11"/>
        <v>0</v>
      </c>
      <c r="I95" s="126">
        <f t="shared" si="17"/>
        <v>0</v>
      </c>
      <c r="J95" s="119">
        <f t="shared" si="12"/>
        <v>16958.445050008624</v>
      </c>
      <c r="N95" s="122" t="e">
        <f t="shared" si="13"/>
        <v>#DIV/0!</v>
      </c>
      <c r="O95" s="122" t="e">
        <f t="shared" si="14"/>
        <v>#DIV/0!</v>
      </c>
      <c r="P95" s="123" t="e">
        <f t="shared" si="15"/>
        <v>#DIV/0!</v>
      </c>
      <c r="R95" s="130" t="e">
        <f t="shared" si="16"/>
        <v>#DIV/0!</v>
      </c>
      <c r="S95" s="116" t="e">
        <f t="shared" si="18"/>
        <v>#DIV/0!</v>
      </c>
    </row>
    <row r="96" spans="8:19" ht="12">
      <c r="H96" s="126">
        <f t="shared" si="11"/>
        <v>0</v>
      </c>
      <c r="I96" s="126">
        <f t="shared" si="17"/>
        <v>0</v>
      </c>
      <c r="J96" s="119">
        <f t="shared" si="12"/>
        <v>16958.445050008624</v>
      </c>
      <c r="N96" s="122" t="e">
        <f t="shared" si="13"/>
        <v>#DIV/0!</v>
      </c>
      <c r="O96" s="122" t="e">
        <f t="shared" si="14"/>
        <v>#DIV/0!</v>
      </c>
      <c r="P96" s="123" t="e">
        <f t="shared" si="15"/>
        <v>#DIV/0!</v>
      </c>
      <c r="R96" s="130" t="e">
        <f t="shared" si="16"/>
        <v>#DIV/0!</v>
      </c>
      <c r="S96" s="116" t="e">
        <f t="shared" si="18"/>
        <v>#DIV/0!</v>
      </c>
    </row>
    <row r="97" spans="8:19" ht="12">
      <c r="H97" s="126">
        <f t="shared" si="11"/>
        <v>0</v>
      </c>
      <c r="I97" s="126">
        <f t="shared" si="17"/>
        <v>0</v>
      </c>
      <c r="J97" s="119">
        <f t="shared" si="12"/>
        <v>16958.445050008624</v>
      </c>
      <c r="N97" s="122" t="e">
        <f t="shared" si="13"/>
        <v>#DIV/0!</v>
      </c>
      <c r="O97" s="122" t="e">
        <f t="shared" si="14"/>
        <v>#DIV/0!</v>
      </c>
      <c r="P97" s="123" t="e">
        <f t="shared" si="15"/>
        <v>#DIV/0!</v>
      </c>
      <c r="R97" s="130" t="e">
        <f t="shared" si="16"/>
        <v>#DIV/0!</v>
      </c>
      <c r="S97" s="116" t="e">
        <f t="shared" si="18"/>
        <v>#DIV/0!</v>
      </c>
    </row>
    <row r="98" spans="8:19" ht="12">
      <c r="H98" s="126">
        <f t="shared" si="11"/>
        <v>0</v>
      </c>
      <c r="I98" s="126">
        <f t="shared" si="17"/>
        <v>0</v>
      </c>
      <c r="J98" s="119">
        <f t="shared" si="12"/>
        <v>16958.445050008624</v>
      </c>
      <c r="N98" s="122" t="e">
        <f t="shared" si="13"/>
        <v>#DIV/0!</v>
      </c>
      <c r="O98" s="122" t="e">
        <f t="shared" si="14"/>
        <v>#DIV/0!</v>
      </c>
      <c r="P98" s="123" t="e">
        <f t="shared" si="15"/>
        <v>#DIV/0!</v>
      </c>
      <c r="R98" s="130" t="e">
        <f t="shared" si="16"/>
        <v>#DIV/0!</v>
      </c>
      <c r="S98" s="116" t="e">
        <f t="shared" si="18"/>
        <v>#DIV/0!</v>
      </c>
    </row>
    <row r="99" spans="8:19" ht="12">
      <c r="H99" s="126">
        <f t="shared" si="11"/>
        <v>0</v>
      </c>
      <c r="I99" s="126">
        <f t="shared" si="17"/>
        <v>0</v>
      </c>
      <c r="J99" s="119">
        <f t="shared" si="12"/>
        <v>16958.445050008624</v>
      </c>
      <c r="N99" s="122" t="e">
        <f t="shared" si="13"/>
        <v>#DIV/0!</v>
      </c>
      <c r="O99" s="122" t="e">
        <f t="shared" si="14"/>
        <v>#DIV/0!</v>
      </c>
      <c r="P99" s="123" t="e">
        <f t="shared" si="15"/>
        <v>#DIV/0!</v>
      </c>
      <c r="R99" s="130" t="e">
        <f t="shared" si="16"/>
        <v>#DIV/0!</v>
      </c>
      <c r="S99" s="116" t="e">
        <f t="shared" si="18"/>
        <v>#DIV/0!</v>
      </c>
    </row>
    <row r="100" spans="8:19" ht="12">
      <c r="H100" s="126">
        <f t="shared" si="11"/>
        <v>0</v>
      </c>
      <c r="I100" s="126">
        <f t="shared" si="17"/>
        <v>0</v>
      </c>
      <c r="J100" s="119">
        <f t="shared" si="12"/>
        <v>16958.445050008624</v>
      </c>
      <c r="N100" s="122" t="e">
        <f t="shared" si="13"/>
        <v>#DIV/0!</v>
      </c>
      <c r="O100" s="122" t="e">
        <f t="shared" si="14"/>
        <v>#DIV/0!</v>
      </c>
      <c r="P100" s="123" t="e">
        <f t="shared" si="15"/>
        <v>#DIV/0!</v>
      </c>
      <c r="R100" s="130" t="e">
        <f t="shared" si="16"/>
        <v>#DIV/0!</v>
      </c>
      <c r="S100" s="116" t="e">
        <f t="shared" si="18"/>
        <v>#DIV/0!</v>
      </c>
    </row>
    <row r="101" spans="8:19" ht="12">
      <c r="H101" s="126">
        <f t="shared" si="11"/>
        <v>0</v>
      </c>
      <c r="I101" s="126">
        <f t="shared" si="17"/>
        <v>0</v>
      </c>
      <c r="J101" s="119">
        <f t="shared" si="12"/>
        <v>16958.445050008624</v>
      </c>
      <c r="N101" s="122" t="e">
        <f t="shared" si="13"/>
        <v>#DIV/0!</v>
      </c>
      <c r="O101" s="122" t="e">
        <f t="shared" si="14"/>
        <v>#DIV/0!</v>
      </c>
      <c r="P101" s="123" t="e">
        <f t="shared" si="15"/>
        <v>#DIV/0!</v>
      </c>
      <c r="R101" s="130" t="e">
        <f t="shared" si="16"/>
        <v>#DIV/0!</v>
      </c>
      <c r="S101" s="116" t="e">
        <f t="shared" si="18"/>
        <v>#DIV/0!</v>
      </c>
    </row>
    <row r="102" spans="8:19" ht="12">
      <c r="H102" s="126">
        <f t="shared" si="11"/>
        <v>0</v>
      </c>
      <c r="I102" s="126">
        <f t="shared" si="17"/>
        <v>0</v>
      </c>
      <c r="J102" s="119">
        <f t="shared" si="12"/>
        <v>16958.445050008624</v>
      </c>
      <c r="N102" s="122" t="e">
        <f t="shared" si="13"/>
        <v>#DIV/0!</v>
      </c>
      <c r="O102" s="122" t="e">
        <f t="shared" si="14"/>
        <v>#DIV/0!</v>
      </c>
      <c r="P102" s="123" t="e">
        <f t="shared" si="15"/>
        <v>#DIV/0!</v>
      </c>
      <c r="R102" s="130" t="e">
        <f t="shared" si="16"/>
        <v>#DIV/0!</v>
      </c>
      <c r="S102" s="116" t="e">
        <f t="shared" si="18"/>
        <v>#DIV/0!</v>
      </c>
    </row>
    <row r="103" spans="8:19" ht="12">
      <c r="H103" s="126">
        <f t="shared" si="11"/>
        <v>0</v>
      </c>
      <c r="I103" s="126">
        <f t="shared" si="17"/>
        <v>0</v>
      </c>
      <c r="J103" s="119">
        <f t="shared" si="12"/>
        <v>16958.445050008624</v>
      </c>
      <c r="N103" s="122" t="e">
        <f t="shared" si="13"/>
        <v>#DIV/0!</v>
      </c>
      <c r="O103" s="122" t="e">
        <f t="shared" si="14"/>
        <v>#DIV/0!</v>
      </c>
      <c r="P103" s="123" t="e">
        <f t="shared" si="15"/>
        <v>#DIV/0!</v>
      </c>
      <c r="R103" s="130" t="e">
        <f t="shared" si="16"/>
        <v>#DIV/0!</v>
      </c>
      <c r="S103" s="116" t="e">
        <f t="shared" si="18"/>
        <v>#DIV/0!</v>
      </c>
    </row>
    <row r="104" spans="8:19" ht="12">
      <c r="H104" s="126">
        <f t="shared" si="11"/>
        <v>0</v>
      </c>
      <c r="I104" s="126">
        <f t="shared" si="17"/>
        <v>0</v>
      </c>
      <c r="J104" s="119">
        <f t="shared" si="12"/>
        <v>16958.445050008624</v>
      </c>
      <c r="N104" s="122" t="e">
        <f t="shared" si="13"/>
        <v>#DIV/0!</v>
      </c>
      <c r="O104" s="122" t="e">
        <f t="shared" si="14"/>
        <v>#DIV/0!</v>
      </c>
      <c r="P104" s="123" t="e">
        <f t="shared" si="15"/>
        <v>#DIV/0!</v>
      </c>
      <c r="R104" s="130" t="e">
        <f t="shared" si="16"/>
        <v>#DIV/0!</v>
      </c>
      <c r="S104" s="116" t="e">
        <f t="shared" si="18"/>
        <v>#DIV/0!</v>
      </c>
    </row>
    <row r="105" spans="8:19" ht="12">
      <c r="H105" s="126">
        <f t="shared" si="11"/>
        <v>0</v>
      </c>
      <c r="I105" s="126">
        <f t="shared" si="17"/>
        <v>0</v>
      </c>
      <c r="J105" s="119">
        <f t="shared" si="12"/>
        <v>16958.445050008624</v>
      </c>
      <c r="N105" s="122" t="e">
        <f t="shared" si="13"/>
        <v>#DIV/0!</v>
      </c>
      <c r="O105" s="122" t="e">
        <f t="shared" si="14"/>
        <v>#DIV/0!</v>
      </c>
      <c r="P105" s="123" t="e">
        <f t="shared" si="15"/>
        <v>#DIV/0!</v>
      </c>
      <c r="R105" s="130" t="e">
        <f t="shared" si="16"/>
        <v>#DIV/0!</v>
      </c>
      <c r="S105" s="116" t="e">
        <f t="shared" si="18"/>
        <v>#DIV/0!</v>
      </c>
    </row>
    <row r="106" spans="8:19" ht="12">
      <c r="H106" s="126">
        <f t="shared" si="11"/>
        <v>0</v>
      </c>
      <c r="I106" s="126">
        <f t="shared" si="17"/>
        <v>0</v>
      </c>
      <c r="J106" s="119">
        <f t="shared" si="12"/>
        <v>16958.445050008624</v>
      </c>
      <c r="N106" s="122" t="e">
        <f t="shared" si="13"/>
        <v>#DIV/0!</v>
      </c>
      <c r="O106" s="122" t="e">
        <f t="shared" si="14"/>
        <v>#DIV/0!</v>
      </c>
      <c r="P106" s="123" t="e">
        <f t="shared" si="15"/>
        <v>#DIV/0!</v>
      </c>
      <c r="R106" s="130" t="e">
        <f t="shared" si="16"/>
        <v>#DIV/0!</v>
      </c>
      <c r="S106" s="116" t="e">
        <f t="shared" si="18"/>
        <v>#DIV/0!</v>
      </c>
    </row>
    <row r="107" spans="8:19" ht="12">
      <c r="H107" s="126">
        <f t="shared" si="11"/>
        <v>0</v>
      </c>
      <c r="I107" s="126">
        <f t="shared" si="17"/>
        <v>0</v>
      </c>
      <c r="J107" s="119">
        <f t="shared" si="12"/>
        <v>16958.445050008624</v>
      </c>
      <c r="N107" s="122" t="e">
        <f t="shared" si="13"/>
        <v>#DIV/0!</v>
      </c>
      <c r="O107" s="122" t="e">
        <f t="shared" si="14"/>
        <v>#DIV/0!</v>
      </c>
      <c r="P107" s="123" t="e">
        <f t="shared" si="15"/>
        <v>#DIV/0!</v>
      </c>
      <c r="R107" s="130" t="e">
        <f t="shared" si="16"/>
        <v>#DIV/0!</v>
      </c>
      <c r="S107" s="116" t="e">
        <f t="shared" si="18"/>
        <v>#DIV/0!</v>
      </c>
    </row>
    <row r="108" spans="8:19" ht="12">
      <c r="H108" s="126">
        <f t="shared" si="11"/>
        <v>0</v>
      </c>
      <c r="I108" s="126">
        <f t="shared" si="17"/>
        <v>0</v>
      </c>
      <c r="J108" s="119">
        <f t="shared" si="12"/>
        <v>16958.445050008624</v>
      </c>
      <c r="N108" s="122" t="e">
        <f t="shared" si="13"/>
        <v>#DIV/0!</v>
      </c>
      <c r="O108" s="122" t="e">
        <f t="shared" si="14"/>
        <v>#DIV/0!</v>
      </c>
      <c r="P108" s="123" t="e">
        <f t="shared" si="15"/>
        <v>#DIV/0!</v>
      </c>
      <c r="R108" s="130" t="e">
        <f t="shared" si="16"/>
        <v>#DIV/0!</v>
      </c>
      <c r="S108" s="116" t="e">
        <f t="shared" si="18"/>
        <v>#DIV/0!</v>
      </c>
    </row>
    <row r="109" spans="8:19" ht="12">
      <c r="H109" s="126">
        <f t="shared" si="11"/>
        <v>0</v>
      </c>
      <c r="I109" s="126">
        <f t="shared" si="17"/>
        <v>0</v>
      </c>
      <c r="J109" s="119">
        <f t="shared" si="12"/>
        <v>16958.445050008624</v>
      </c>
      <c r="N109" s="122" t="e">
        <f t="shared" si="13"/>
        <v>#DIV/0!</v>
      </c>
      <c r="O109" s="122" t="e">
        <f t="shared" si="14"/>
        <v>#DIV/0!</v>
      </c>
      <c r="P109" s="123" t="e">
        <f t="shared" si="15"/>
        <v>#DIV/0!</v>
      </c>
      <c r="R109" s="130" t="e">
        <f t="shared" si="16"/>
        <v>#DIV/0!</v>
      </c>
      <c r="S109" s="116" t="e">
        <f t="shared" si="18"/>
        <v>#DIV/0!</v>
      </c>
    </row>
    <row r="110" spans="8:19" ht="12">
      <c r="H110" s="126">
        <f t="shared" si="11"/>
        <v>0</v>
      </c>
      <c r="I110" s="126">
        <f t="shared" si="17"/>
        <v>0</v>
      </c>
      <c r="J110" s="119">
        <f t="shared" si="12"/>
        <v>16958.445050008624</v>
      </c>
      <c r="N110" s="122" t="e">
        <f t="shared" si="13"/>
        <v>#DIV/0!</v>
      </c>
      <c r="O110" s="122" t="e">
        <f t="shared" si="14"/>
        <v>#DIV/0!</v>
      </c>
      <c r="P110" s="123" t="e">
        <f t="shared" si="15"/>
        <v>#DIV/0!</v>
      </c>
      <c r="R110" s="130" t="e">
        <f t="shared" si="16"/>
        <v>#DIV/0!</v>
      </c>
      <c r="S110" s="116" t="e">
        <f t="shared" si="18"/>
        <v>#DIV/0!</v>
      </c>
    </row>
    <row r="111" spans="8:19" ht="12">
      <c r="H111" s="126">
        <f t="shared" si="11"/>
        <v>0</v>
      </c>
      <c r="I111" s="126">
        <f t="shared" si="17"/>
        <v>0</v>
      </c>
      <c r="J111" s="119">
        <f t="shared" si="12"/>
        <v>16958.445050008624</v>
      </c>
      <c r="N111" s="122" t="e">
        <f t="shared" si="13"/>
        <v>#DIV/0!</v>
      </c>
      <c r="O111" s="122" t="e">
        <f t="shared" si="14"/>
        <v>#DIV/0!</v>
      </c>
      <c r="P111" s="123" t="e">
        <f t="shared" si="15"/>
        <v>#DIV/0!</v>
      </c>
      <c r="R111" s="130" t="e">
        <f t="shared" si="16"/>
        <v>#DIV/0!</v>
      </c>
      <c r="S111" s="116" t="e">
        <f t="shared" si="18"/>
        <v>#DIV/0!</v>
      </c>
    </row>
    <row r="112" spans="8:19" ht="12">
      <c r="H112" s="126">
        <f t="shared" si="11"/>
        <v>0</v>
      </c>
      <c r="I112" s="126">
        <f t="shared" si="17"/>
        <v>0</v>
      </c>
      <c r="J112" s="119">
        <f t="shared" si="12"/>
        <v>16958.445050008624</v>
      </c>
      <c r="N112" s="122" t="e">
        <f t="shared" si="13"/>
        <v>#DIV/0!</v>
      </c>
      <c r="O112" s="122" t="e">
        <f t="shared" si="14"/>
        <v>#DIV/0!</v>
      </c>
      <c r="P112" s="123" t="e">
        <f t="shared" si="15"/>
        <v>#DIV/0!</v>
      </c>
      <c r="R112" s="130" t="e">
        <f t="shared" si="16"/>
        <v>#DIV/0!</v>
      </c>
      <c r="S112" s="116" t="e">
        <f t="shared" si="18"/>
        <v>#DIV/0!</v>
      </c>
    </row>
    <row r="113" spans="8:19" ht="12">
      <c r="H113" s="126">
        <f t="shared" si="11"/>
        <v>0</v>
      </c>
      <c r="I113" s="126">
        <f t="shared" si="17"/>
        <v>0</v>
      </c>
      <c r="J113" s="119">
        <f t="shared" si="12"/>
        <v>16958.445050008624</v>
      </c>
      <c r="N113" s="122" t="e">
        <f t="shared" si="13"/>
        <v>#DIV/0!</v>
      </c>
      <c r="O113" s="122" t="e">
        <f t="shared" si="14"/>
        <v>#DIV/0!</v>
      </c>
      <c r="P113" s="123" t="e">
        <f t="shared" si="15"/>
        <v>#DIV/0!</v>
      </c>
      <c r="R113" s="130" t="e">
        <f t="shared" si="16"/>
        <v>#DIV/0!</v>
      </c>
      <c r="S113" s="116" t="e">
        <f t="shared" si="18"/>
        <v>#DIV/0!</v>
      </c>
    </row>
    <row r="114" spans="8:19" ht="12">
      <c r="H114" s="126">
        <f t="shared" si="11"/>
        <v>0</v>
      </c>
      <c r="I114" s="126">
        <f t="shared" si="17"/>
        <v>0</v>
      </c>
      <c r="J114" s="119">
        <f t="shared" si="12"/>
        <v>16958.445050008624</v>
      </c>
      <c r="N114" s="122" t="e">
        <f t="shared" si="13"/>
        <v>#DIV/0!</v>
      </c>
      <c r="O114" s="122" t="e">
        <f t="shared" si="14"/>
        <v>#DIV/0!</v>
      </c>
      <c r="P114" s="123" t="e">
        <f t="shared" si="15"/>
        <v>#DIV/0!</v>
      </c>
      <c r="R114" s="130" t="e">
        <f t="shared" si="16"/>
        <v>#DIV/0!</v>
      </c>
      <c r="S114" s="116" t="e">
        <f t="shared" si="18"/>
        <v>#DIV/0!</v>
      </c>
    </row>
    <row r="115" spans="8:19" ht="12">
      <c r="H115" s="126">
        <f t="shared" si="11"/>
        <v>0</v>
      </c>
      <c r="I115" s="126">
        <f t="shared" si="17"/>
        <v>0</v>
      </c>
      <c r="J115" s="119">
        <f t="shared" si="12"/>
        <v>16958.445050008624</v>
      </c>
      <c r="N115" s="122" t="e">
        <f t="shared" si="13"/>
        <v>#DIV/0!</v>
      </c>
      <c r="O115" s="122" t="e">
        <f t="shared" si="14"/>
        <v>#DIV/0!</v>
      </c>
      <c r="P115" s="123" t="e">
        <f t="shared" si="15"/>
        <v>#DIV/0!</v>
      </c>
      <c r="R115" s="130" t="e">
        <f t="shared" si="16"/>
        <v>#DIV/0!</v>
      </c>
      <c r="S115" s="116" t="e">
        <f t="shared" si="18"/>
        <v>#DIV/0!</v>
      </c>
    </row>
    <row r="116" spans="8:19" ht="12">
      <c r="H116" s="126">
        <f t="shared" si="11"/>
        <v>0</v>
      </c>
      <c r="I116" s="126">
        <f t="shared" si="17"/>
        <v>0</v>
      </c>
      <c r="J116" s="119">
        <f t="shared" si="12"/>
        <v>16958.445050008624</v>
      </c>
      <c r="N116" s="122" t="e">
        <f t="shared" si="13"/>
        <v>#DIV/0!</v>
      </c>
      <c r="O116" s="122" t="e">
        <f t="shared" si="14"/>
        <v>#DIV/0!</v>
      </c>
      <c r="P116" s="123" t="e">
        <f t="shared" si="15"/>
        <v>#DIV/0!</v>
      </c>
      <c r="R116" s="130" t="e">
        <f t="shared" si="16"/>
        <v>#DIV/0!</v>
      </c>
      <c r="S116" s="116" t="e">
        <f t="shared" si="18"/>
        <v>#DIV/0!</v>
      </c>
    </row>
    <row r="117" spans="8:19" ht="12">
      <c r="H117" s="126">
        <f t="shared" si="11"/>
        <v>0</v>
      </c>
      <c r="I117" s="126">
        <f t="shared" si="17"/>
        <v>0</v>
      </c>
      <c r="J117" s="119">
        <f t="shared" si="12"/>
        <v>16958.445050008624</v>
      </c>
      <c r="N117" s="122" t="e">
        <f t="shared" si="13"/>
        <v>#DIV/0!</v>
      </c>
      <c r="O117" s="122" t="e">
        <f t="shared" si="14"/>
        <v>#DIV/0!</v>
      </c>
      <c r="P117" s="123" t="e">
        <f t="shared" si="15"/>
        <v>#DIV/0!</v>
      </c>
      <c r="R117" s="130" t="e">
        <f t="shared" si="16"/>
        <v>#DIV/0!</v>
      </c>
      <c r="S117" s="116" t="e">
        <f t="shared" si="18"/>
        <v>#DIV/0!</v>
      </c>
    </row>
    <row r="118" spans="8:19" ht="12">
      <c r="H118" s="126">
        <f t="shared" si="11"/>
        <v>0</v>
      </c>
      <c r="I118" s="126">
        <f t="shared" si="17"/>
        <v>0</v>
      </c>
      <c r="J118" s="119">
        <f t="shared" si="12"/>
        <v>16958.445050008624</v>
      </c>
      <c r="N118" s="122" t="e">
        <f t="shared" si="13"/>
        <v>#DIV/0!</v>
      </c>
      <c r="O118" s="122" t="e">
        <f t="shared" si="14"/>
        <v>#DIV/0!</v>
      </c>
      <c r="P118" s="123" t="e">
        <f t="shared" si="15"/>
        <v>#DIV/0!</v>
      </c>
      <c r="R118" s="130" t="e">
        <f t="shared" si="16"/>
        <v>#DIV/0!</v>
      </c>
      <c r="S118" s="116" t="e">
        <f t="shared" si="18"/>
        <v>#DIV/0!</v>
      </c>
    </row>
    <row r="119" spans="8:19" ht="12">
      <c r="H119" s="126">
        <f t="shared" si="11"/>
        <v>0</v>
      </c>
      <c r="I119" s="126">
        <f t="shared" si="17"/>
        <v>0</v>
      </c>
      <c r="J119" s="119">
        <f t="shared" si="12"/>
        <v>16958.445050008624</v>
      </c>
      <c r="N119" s="122" t="e">
        <f t="shared" si="13"/>
        <v>#DIV/0!</v>
      </c>
      <c r="O119" s="122" t="e">
        <f t="shared" si="14"/>
        <v>#DIV/0!</v>
      </c>
      <c r="P119" s="123" t="e">
        <f t="shared" si="15"/>
        <v>#DIV/0!</v>
      </c>
      <c r="R119" s="130" t="e">
        <f t="shared" si="16"/>
        <v>#DIV/0!</v>
      </c>
      <c r="S119" s="116" t="e">
        <f t="shared" si="18"/>
        <v>#DIV/0!</v>
      </c>
    </row>
    <row r="120" spans="8:19" ht="12">
      <c r="H120" s="126">
        <f t="shared" si="11"/>
        <v>0</v>
      </c>
      <c r="I120" s="126">
        <f t="shared" si="17"/>
        <v>0</v>
      </c>
      <c r="J120" s="119">
        <f t="shared" si="12"/>
        <v>16958.445050008624</v>
      </c>
      <c r="N120" s="122" t="e">
        <f t="shared" si="13"/>
        <v>#DIV/0!</v>
      </c>
      <c r="O120" s="122" t="e">
        <f t="shared" si="14"/>
        <v>#DIV/0!</v>
      </c>
      <c r="P120" s="123" t="e">
        <f t="shared" si="15"/>
        <v>#DIV/0!</v>
      </c>
      <c r="R120" s="130" t="e">
        <f t="shared" si="16"/>
        <v>#DIV/0!</v>
      </c>
      <c r="S120" s="116" t="e">
        <f t="shared" si="18"/>
        <v>#DIV/0!</v>
      </c>
    </row>
    <row r="121" spans="8:19" ht="12">
      <c r="H121" s="126">
        <f t="shared" si="11"/>
        <v>0</v>
      </c>
      <c r="I121" s="126">
        <f t="shared" si="17"/>
        <v>0</v>
      </c>
      <c r="J121" s="119">
        <f t="shared" si="12"/>
        <v>16958.445050008624</v>
      </c>
      <c r="N121" s="122" t="e">
        <f t="shared" si="13"/>
        <v>#DIV/0!</v>
      </c>
      <c r="O121" s="122" t="e">
        <f t="shared" si="14"/>
        <v>#DIV/0!</v>
      </c>
      <c r="P121" s="123" t="e">
        <f t="shared" si="15"/>
        <v>#DIV/0!</v>
      </c>
      <c r="R121" s="130" t="e">
        <f t="shared" si="16"/>
        <v>#DIV/0!</v>
      </c>
      <c r="S121" s="116" t="e">
        <f t="shared" si="18"/>
        <v>#DIV/0!</v>
      </c>
    </row>
    <row r="122" spans="8:19" ht="12">
      <c r="H122" s="126">
        <f t="shared" si="11"/>
        <v>0</v>
      </c>
      <c r="I122" s="126">
        <f t="shared" si="17"/>
        <v>0</v>
      </c>
      <c r="J122" s="119">
        <f t="shared" si="12"/>
        <v>16958.445050008624</v>
      </c>
      <c r="N122" s="122" t="e">
        <f t="shared" si="13"/>
        <v>#DIV/0!</v>
      </c>
      <c r="O122" s="122" t="e">
        <f t="shared" si="14"/>
        <v>#DIV/0!</v>
      </c>
      <c r="P122" s="123" t="e">
        <f t="shared" si="15"/>
        <v>#DIV/0!</v>
      </c>
      <c r="R122" s="130" t="e">
        <f t="shared" si="16"/>
        <v>#DIV/0!</v>
      </c>
      <c r="S122" s="116" t="e">
        <f t="shared" si="18"/>
        <v>#DIV/0!</v>
      </c>
    </row>
    <row r="123" spans="8:19" ht="12">
      <c r="H123" s="126">
        <f t="shared" si="11"/>
        <v>0</v>
      </c>
      <c r="I123" s="126">
        <f t="shared" si="17"/>
        <v>0</v>
      </c>
      <c r="J123" s="119">
        <f t="shared" si="12"/>
        <v>16958.445050008624</v>
      </c>
      <c r="N123" s="122" t="e">
        <f t="shared" si="13"/>
        <v>#DIV/0!</v>
      </c>
      <c r="O123" s="122" t="e">
        <f t="shared" si="14"/>
        <v>#DIV/0!</v>
      </c>
      <c r="P123" s="123" t="e">
        <f t="shared" si="15"/>
        <v>#DIV/0!</v>
      </c>
      <c r="R123" s="130" t="e">
        <f t="shared" si="16"/>
        <v>#DIV/0!</v>
      </c>
      <c r="S123" s="116" t="e">
        <f t="shared" si="18"/>
        <v>#DIV/0!</v>
      </c>
    </row>
    <row r="124" spans="8:19" ht="12">
      <c r="H124" s="126">
        <f t="shared" si="11"/>
        <v>0</v>
      </c>
      <c r="I124" s="126">
        <f t="shared" si="17"/>
        <v>0</v>
      </c>
      <c r="J124" s="119">
        <f t="shared" si="12"/>
        <v>16958.445050008624</v>
      </c>
      <c r="N124" s="122" t="e">
        <f t="shared" si="13"/>
        <v>#DIV/0!</v>
      </c>
      <c r="O124" s="122" t="e">
        <f t="shared" si="14"/>
        <v>#DIV/0!</v>
      </c>
      <c r="P124" s="123" t="e">
        <f t="shared" si="15"/>
        <v>#DIV/0!</v>
      </c>
      <c r="R124" s="130" t="e">
        <f t="shared" si="16"/>
        <v>#DIV/0!</v>
      </c>
      <c r="S124" s="116" t="e">
        <f t="shared" si="18"/>
        <v>#DIV/0!</v>
      </c>
    </row>
    <row r="125" spans="8:19" ht="12">
      <c r="H125" s="126">
        <f t="shared" si="11"/>
        <v>0</v>
      </c>
      <c r="I125" s="126">
        <f t="shared" si="17"/>
        <v>0</v>
      </c>
      <c r="J125" s="119">
        <f t="shared" si="12"/>
        <v>16958.445050008624</v>
      </c>
      <c r="N125" s="122" t="e">
        <f t="shared" si="13"/>
        <v>#DIV/0!</v>
      </c>
      <c r="O125" s="122" t="e">
        <f t="shared" si="14"/>
        <v>#DIV/0!</v>
      </c>
      <c r="P125" s="123" t="e">
        <f t="shared" si="15"/>
        <v>#DIV/0!</v>
      </c>
      <c r="R125" s="130" t="e">
        <f t="shared" si="16"/>
        <v>#DIV/0!</v>
      </c>
      <c r="S125" s="116" t="e">
        <f t="shared" si="18"/>
        <v>#DIV/0!</v>
      </c>
    </row>
    <row r="126" spans="8:19" ht="12">
      <c r="H126" s="126">
        <f t="shared" si="11"/>
        <v>0</v>
      </c>
      <c r="I126" s="126">
        <f t="shared" si="17"/>
        <v>0</v>
      </c>
      <c r="J126" s="119">
        <f t="shared" si="12"/>
        <v>16958.445050008624</v>
      </c>
      <c r="N126" s="122" t="e">
        <f t="shared" si="13"/>
        <v>#DIV/0!</v>
      </c>
      <c r="O126" s="122" t="e">
        <f t="shared" si="14"/>
        <v>#DIV/0!</v>
      </c>
      <c r="P126" s="123" t="e">
        <f t="shared" si="15"/>
        <v>#DIV/0!</v>
      </c>
      <c r="R126" s="130" t="e">
        <f t="shared" si="16"/>
        <v>#DIV/0!</v>
      </c>
      <c r="S126" s="116" t="e">
        <f t="shared" si="18"/>
        <v>#DIV/0!</v>
      </c>
    </row>
    <row r="127" spans="8:19" ht="12">
      <c r="H127" s="126">
        <f t="shared" si="11"/>
        <v>0</v>
      </c>
      <c r="I127" s="126">
        <f t="shared" si="17"/>
        <v>0</v>
      </c>
      <c r="J127" s="119">
        <f t="shared" si="12"/>
        <v>16958.445050008624</v>
      </c>
      <c r="N127" s="122" t="e">
        <f t="shared" si="13"/>
        <v>#DIV/0!</v>
      </c>
      <c r="O127" s="122" t="e">
        <f t="shared" si="14"/>
        <v>#DIV/0!</v>
      </c>
      <c r="P127" s="123" t="e">
        <f t="shared" si="15"/>
        <v>#DIV/0!</v>
      </c>
      <c r="R127" s="130" t="e">
        <f t="shared" si="16"/>
        <v>#DIV/0!</v>
      </c>
      <c r="S127" s="116" t="e">
        <f t="shared" si="18"/>
        <v>#DIV/0!</v>
      </c>
    </row>
    <row r="128" spans="8:19" ht="12">
      <c r="H128" s="126">
        <f t="shared" si="11"/>
        <v>0</v>
      </c>
      <c r="I128" s="126">
        <f t="shared" si="17"/>
        <v>0</v>
      </c>
      <c r="J128" s="119">
        <f t="shared" si="12"/>
        <v>16958.445050008624</v>
      </c>
      <c r="N128" s="122" t="e">
        <f t="shared" si="13"/>
        <v>#DIV/0!</v>
      </c>
      <c r="O128" s="122" t="e">
        <f t="shared" si="14"/>
        <v>#DIV/0!</v>
      </c>
      <c r="P128" s="123" t="e">
        <f t="shared" si="15"/>
        <v>#DIV/0!</v>
      </c>
      <c r="R128" s="130" t="e">
        <f t="shared" si="16"/>
        <v>#DIV/0!</v>
      </c>
      <c r="S128" s="116" t="e">
        <f t="shared" si="18"/>
        <v>#DIV/0!</v>
      </c>
    </row>
    <row r="129" spans="8:19" ht="12">
      <c r="H129" s="126">
        <f t="shared" si="11"/>
        <v>0</v>
      </c>
      <c r="I129" s="126">
        <f t="shared" si="17"/>
        <v>0</v>
      </c>
      <c r="J129" s="119">
        <f t="shared" si="12"/>
        <v>16958.445050008624</v>
      </c>
      <c r="N129" s="122" t="e">
        <f t="shared" si="13"/>
        <v>#DIV/0!</v>
      </c>
      <c r="O129" s="122" t="e">
        <f t="shared" si="14"/>
        <v>#DIV/0!</v>
      </c>
      <c r="P129" s="123" t="e">
        <f t="shared" si="15"/>
        <v>#DIV/0!</v>
      </c>
      <c r="R129" s="130" t="e">
        <f t="shared" si="16"/>
        <v>#DIV/0!</v>
      </c>
      <c r="S129" s="116" t="e">
        <f t="shared" si="18"/>
        <v>#DIV/0!</v>
      </c>
    </row>
    <row r="130" spans="8:19" ht="12">
      <c r="H130" s="126">
        <f t="shared" si="11"/>
        <v>0</v>
      </c>
      <c r="I130" s="126">
        <f t="shared" si="17"/>
        <v>0</v>
      </c>
      <c r="J130" s="119">
        <f t="shared" si="12"/>
        <v>16958.445050008624</v>
      </c>
      <c r="N130" s="122" t="e">
        <f t="shared" si="13"/>
        <v>#DIV/0!</v>
      </c>
      <c r="O130" s="122" t="e">
        <f t="shared" si="14"/>
        <v>#DIV/0!</v>
      </c>
      <c r="P130" s="123" t="e">
        <f t="shared" si="15"/>
        <v>#DIV/0!</v>
      </c>
      <c r="R130" s="130" t="e">
        <f t="shared" si="16"/>
        <v>#DIV/0!</v>
      </c>
      <c r="S130" s="116" t="e">
        <f t="shared" si="18"/>
        <v>#DIV/0!</v>
      </c>
    </row>
    <row r="131" spans="8:19" ht="12">
      <c r="H131" s="126">
        <f t="shared" si="11"/>
        <v>0</v>
      </c>
      <c r="I131" s="126">
        <f t="shared" si="17"/>
        <v>0</v>
      </c>
      <c r="J131" s="119">
        <f t="shared" si="12"/>
        <v>16958.445050008624</v>
      </c>
      <c r="N131" s="122" t="e">
        <f t="shared" si="13"/>
        <v>#DIV/0!</v>
      </c>
      <c r="O131" s="122" t="e">
        <f t="shared" si="14"/>
        <v>#DIV/0!</v>
      </c>
      <c r="P131" s="123" t="e">
        <f t="shared" si="15"/>
        <v>#DIV/0!</v>
      </c>
      <c r="R131" s="130" t="e">
        <f t="shared" si="16"/>
        <v>#DIV/0!</v>
      </c>
      <c r="S131" s="116" t="e">
        <f t="shared" si="18"/>
        <v>#DIV/0!</v>
      </c>
    </row>
    <row r="132" spans="8:19" ht="12">
      <c r="H132" s="126">
        <f t="shared" si="11"/>
        <v>0</v>
      </c>
      <c r="I132" s="126">
        <f t="shared" si="17"/>
        <v>0</v>
      </c>
      <c r="J132" s="119">
        <f t="shared" si="12"/>
        <v>16958.445050008624</v>
      </c>
      <c r="N132" s="122" t="e">
        <f t="shared" si="13"/>
        <v>#DIV/0!</v>
      </c>
      <c r="O132" s="122" t="e">
        <f t="shared" si="14"/>
        <v>#DIV/0!</v>
      </c>
      <c r="P132" s="123" t="e">
        <f t="shared" si="15"/>
        <v>#DIV/0!</v>
      </c>
      <c r="R132" s="130" t="e">
        <f t="shared" si="16"/>
        <v>#DIV/0!</v>
      </c>
      <c r="S132" s="116" t="e">
        <f t="shared" si="18"/>
        <v>#DIV/0!</v>
      </c>
    </row>
    <row r="133" spans="8:19" ht="12">
      <c r="H133" s="126">
        <f t="shared" si="11"/>
        <v>0</v>
      </c>
      <c r="I133" s="126">
        <f t="shared" si="17"/>
        <v>0</v>
      </c>
      <c r="J133" s="119">
        <f t="shared" si="12"/>
        <v>16958.445050008624</v>
      </c>
      <c r="N133" s="122" t="e">
        <f t="shared" si="13"/>
        <v>#DIV/0!</v>
      </c>
      <c r="O133" s="122" t="e">
        <f t="shared" si="14"/>
        <v>#DIV/0!</v>
      </c>
      <c r="P133" s="123" t="e">
        <f t="shared" si="15"/>
        <v>#DIV/0!</v>
      </c>
      <c r="R133" s="130" t="e">
        <f t="shared" si="16"/>
        <v>#DIV/0!</v>
      </c>
      <c r="S133" s="116" t="e">
        <f t="shared" si="18"/>
        <v>#DIV/0!</v>
      </c>
    </row>
    <row r="134" spans="8:19" ht="12">
      <c r="H134" s="126">
        <f t="shared" si="11"/>
        <v>0</v>
      </c>
      <c r="I134" s="126">
        <f t="shared" si="17"/>
        <v>0</v>
      </c>
      <c r="J134" s="119">
        <f t="shared" si="12"/>
        <v>16958.445050008624</v>
      </c>
      <c r="N134" s="122" t="e">
        <f t="shared" si="13"/>
        <v>#DIV/0!</v>
      </c>
      <c r="O134" s="122" t="e">
        <f t="shared" si="14"/>
        <v>#DIV/0!</v>
      </c>
      <c r="P134" s="123" t="e">
        <f t="shared" si="15"/>
        <v>#DIV/0!</v>
      </c>
      <c r="R134" s="130" t="e">
        <f t="shared" si="16"/>
        <v>#DIV/0!</v>
      </c>
      <c r="S134" s="116" t="e">
        <f t="shared" si="18"/>
        <v>#DIV/0!</v>
      </c>
    </row>
    <row r="135" spans="8:19" ht="12">
      <c r="H135" s="126">
        <f t="shared" si="11"/>
        <v>0</v>
      </c>
      <c r="I135" s="126">
        <f t="shared" si="17"/>
        <v>0</v>
      </c>
      <c r="J135" s="119">
        <f t="shared" si="12"/>
        <v>16958.445050008624</v>
      </c>
      <c r="N135" s="122" t="e">
        <f t="shared" si="13"/>
        <v>#DIV/0!</v>
      </c>
      <c r="O135" s="122" t="e">
        <f t="shared" si="14"/>
        <v>#DIV/0!</v>
      </c>
      <c r="P135" s="123" t="e">
        <f t="shared" si="15"/>
        <v>#DIV/0!</v>
      </c>
      <c r="R135" s="130" t="e">
        <f t="shared" si="16"/>
        <v>#DIV/0!</v>
      </c>
      <c r="S135" s="116" t="e">
        <f t="shared" si="18"/>
        <v>#DIV/0!</v>
      </c>
    </row>
    <row r="136" spans="8:19" ht="12">
      <c r="H136" s="126">
        <f aca="true" t="shared" si="19" ref="H136:H150">ACOS((COS(PI()/180*(90-(B135+C135/60)))*COS(PI()/180*(90-(B136+C136/60))))+(SIN(PI()/180*(90-(B135+C135/60)))*SIN(PI()/180*(90-(B136+C136/60)))*COS(ABS(PI()/180*((E135+(F135/60))-(E136+(F136/60)))))))*180/PI()*60</f>
        <v>0</v>
      </c>
      <c r="I136" s="126">
        <f t="shared" si="17"/>
        <v>0</v>
      </c>
      <c r="J136" s="119">
        <f aca="true" t="shared" si="20" ref="J136:J150">J135+I136</f>
        <v>16958.445050008624</v>
      </c>
      <c r="N136" s="122" t="e">
        <f aca="true" t="shared" si="21" ref="N136:N150">O135+P136/24</f>
        <v>#DIV/0!</v>
      </c>
      <c r="O136" s="122" t="e">
        <f aca="true" t="shared" si="22" ref="O136:O150">N136+(L136+M136)/24</f>
        <v>#DIV/0!</v>
      </c>
      <c r="P136" s="123" t="e">
        <f aca="true" t="shared" si="23" ref="P136:P150">H136/Q136</f>
        <v>#DIV/0!</v>
      </c>
      <c r="R136" s="130" t="e">
        <f aca="true" t="shared" si="24" ref="R136:R150">R135+P136+L136+M136</f>
        <v>#DIV/0!</v>
      </c>
      <c r="S136" s="116" t="e">
        <f t="shared" si="18"/>
        <v>#DIV/0!</v>
      </c>
    </row>
    <row r="137" spans="8:19" ht="12">
      <c r="H137" s="126">
        <f t="shared" si="19"/>
        <v>0</v>
      </c>
      <c r="I137" s="126">
        <f t="shared" si="17"/>
        <v>0</v>
      </c>
      <c r="J137" s="119">
        <f t="shared" si="20"/>
        <v>16958.445050008624</v>
      </c>
      <c r="N137" s="122" t="e">
        <f t="shared" si="21"/>
        <v>#DIV/0!</v>
      </c>
      <c r="O137" s="122" t="e">
        <f t="shared" si="22"/>
        <v>#DIV/0!</v>
      </c>
      <c r="P137" s="123" t="e">
        <f t="shared" si="23"/>
        <v>#DIV/0!</v>
      </c>
      <c r="R137" s="130" t="e">
        <f t="shared" si="24"/>
        <v>#DIV/0!</v>
      </c>
      <c r="S137" s="116" t="e">
        <f t="shared" si="18"/>
        <v>#DIV/0!</v>
      </c>
    </row>
    <row r="138" spans="8:19" ht="12">
      <c r="H138" s="126">
        <f t="shared" si="19"/>
        <v>0</v>
      </c>
      <c r="I138" s="126">
        <f t="shared" si="17"/>
        <v>0</v>
      </c>
      <c r="J138" s="119">
        <f t="shared" si="20"/>
        <v>16958.445050008624</v>
      </c>
      <c r="N138" s="122" t="e">
        <f t="shared" si="21"/>
        <v>#DIV/0!</v>
      </c>
      <c r="O138" s="122" t="e">
        <f t="shared" si="22"/>
        <v>#DIV/0!</v>
      </c>
      <c r="P138" s="123" t="e">
        <f t="shared" si="23"/>
        <v>#DIV/0!</v>
      </c>
      <c r="R138" s="130" t="e">
        <f t="shared" si="24"/>
        <v>#DIV/0!</v>
      </c>
      <c r="S138" s="116" t="e">
        <f t="shared" si="18"/>
        <v>#DIV/0!</v>
      </c>
    </row>
    <row r="139" spans="8:19" ht="12">
      <c r="H139" s="126">
        <f t="shared" si="19"/>
        <v>0</v>
      </c>
      <c r="I139" s="126">
        <f t="shared" si="17"/>
        <v>0</v>
      </c>
      <c r="J139" s="119">
        <f t="shared" si="20"/>
        <v>16958.445050008624</v>
      </c>
      <c r="N139" s="122" t="e">
        <f t="shared" si="21"/>
        <v>#DIV/0!</v>
      </c>
      <c r="O139" s="122" t="e">
        <f t="shared" si="22"/>
        <v>#DIV/0!</v>
      </c>
      <c r="P139" s="123" t="e">
        <f t="shared" si="23"/>
        <v>#DIV/0!</v>
      </c>
      <c r="R139" s="130" t="e">
        <f t="shared" si="24"/>
        <v>#DIV/0!</v>
      </c>
      <c r="S139" s="116" t="e">
        <f t="shared" si="18"/>
        <v>#DIV/0!</v>
      </c>
    </row>
    <row r="140" spans="8:19" ht="12">
      <c r="H140" s="126">
        <f t="shared" si="19"/>
        <v>0</v>
      </c>
      <c r="I140" s="126">
        <f t="shared" si="17"/>
        <v>0</v>
      </c>
      <c r="J140" s="119">
        <f t="shared" si="20"/>
        <v>16958.445050008624</v>
      </c>
      <c r="N140" s="122" t="e">
        <f t="shared" si="21"/>
        <v>#DIV/0!</v>
      </c>
      <c r="O140" s="122" t="e">
        <f t="shared" si="22"/>
        <v>#DIV/0!</v>
      </c>
      <c r="P140" s="123" t="e">
        <f t="shared" si="23"/>
        <v>#DIV/0!</v>
      </c>
      <c r="R140" s="130" t="e">
        <f t="shared" si="24"/>
        <v>#DIV/0!</v>
      </c>
      <c r="S140" s="116" t="e">
        <f t="shared" si="18"/>
        <v>#DIV/0!</v>
      </c>
    </row>
    <row r="141" spans="8:19" ht="12">
      <c r="H141" s="126">
        <f t="shared" si="19"/>
        <v>0</v>
      </c>
      <c r="I141" s="126">
        <f t="shared" si="17"/>
        <v>0</v>
      </c>
      <c r="J141" s="119">
        <f t="shared" si="20"/>
        <v>16958.445050008624</v>
      </c>
      <c r="N141" s="122" t="e">
        <f t="shared" si="21"/>
        <v>#DIV/0!</v>
      </c>
      <c r="O141" s="122" t="e">
        <f t="shared" si="22"/>
        <v>#DIV/0!</v>
      </c>
      <c r="P141" s="123" t="e">
        <f t="shared" si="23"/>
        <v>#DIV/0!</v>
      </c>
      <c r="R141" s="130" t="e">
        <f t="shared" si="24"/>
        <v>#DIV/0!</v>
      </c>
      <c r="S141" s="116" t="e">
        <f t="shared" si="18"/>
        <v>#DIV/0!</v>
      </c>
    </row>
    <row r="142" spans="8:19" ht="12">
      <c r="H142" s="126">
        <f t="shared" si="19"/>
        <v>0</v>
      </c>
      <c r="I142" s="126">
        <f t="shared" si="17"/>
        <v>0</v>
      </c>
      <c r="J142" s="119">
        <f t="shared" si="20"/>
        <v>16958.445050008624</v>
      </c>
      <c r="N142" s="122" t="e">
        <f t="shared" si="21"/>
        <v>#DIV/0!</v>
      </c>
      <c r="O142" s="122" t="e">
        <f t="shared" si="22"/>
        <v>#DIV/0!</v>
      </c>
      <c r="P142" s="123" t="e">
        <f t="shared" si="23"/>
        <v>#DIV/0!</v>
      </c>
      <c r="R142" s="130" t="e">
        <f t="shared" si="24"/>
        <v>#DIV/0!</v>
      </c>
      <c r="S142" s="116" t="e">
        <f t="shared" si="18"/>
        <v>#DIV/0!</v>
      </c>
    </row>
    <row r="143" spans="8:19" ht="12">
      <c r="H143" s="126">
        <f t="shared" si="19"/>
        <v>0</v>
      </c>
      <c r="I143" s="126">
        <f t="shared" si="17"/>
        <v>0</v>
      </c>
      <c r="J143" s="119">
        <f t="shared" si="20"/>
        <v>16958.445050008624</v>
      </c>
      <c r="N143" s="122" t="e">
        <f t="shared" si="21"/>
        <v>#DIV/0!</v>
      </c>
      <c r="O143" s="122" t="e">
        <f t="shared" si="22"/>
        <v>#DIV/0!</v>
      </c>
      <c r="P143" s="123" t="e">
        <f t="shared" si="23"/>
        <v>#DIV/0!</v>
      </c>
      <c r="R143" s="130" t="e">
        <f t="shared" si="24"/>
        <v>#DIV/0!</v>
      </c>
      <c r="S143" s="116" t="e">
        <f t="shared" si="18"/>
        <v>#DIV/0!</v>
      </c>
    </row>
    <row r="144" spans="8:19" ht="12">
      <c r="H144" s="126">
        <f t="shared" si="19"/>
        <v>0</v>
      </c>
      <c r="I144" s="126">
        <f t="shared" si="17"/>
        <v>0</v>
      </c>
      <c r="J144" s="119">
        <f t="shared" si="20"/>
        <v>16958.445050008624</v>
      </c>
      <c r="N144" s="122" t="e">
        <f t="shared" si="21"/>
        <v>#DIV/0!</v>
      </c>
      <c r="O144" s="122" t="e">
        <f t="shared" si="22"/>
        <v>#DIV/0!</v>
      </c>
      <c r="P144" s="123" t="e">
        <f t="shared" si="23"/>
        <v>#DIV/0!</v>
      </c>
      <c r="R144" s="130" t="e">
        <f t="shared" si="24"/>
        <v>#DIV/0!</v>
      </c>
      <c r="S144" s="116" t="e">
        <f t="shared" si="18"/>
        <v>#DIV/0!</v>
      </c>
    </row>
    <row r="145" spans="8:19" ht="12">
      <c r="H145" s="126">
        <f t="shared" si="19"/>
        <v>0</v>
      </c>
      <c r="I145" s="126">
        <f t="shared" si="17"/>
        <v>0</v>
      </c>
      <c r="J145" s="119">
        <f t="shared" si="20"/>
        <v>16958.445050008624</v>
      </c>
      <c r="N145" s="122" t="e">
        <f t="shared" si="21"/>
        <v>#DIV/0!</v>
      </c>
      <c r="O145" s="122" t="e">
        <f t="shared" si="22"/>
        <v>#DIV/0!</v>
      </c>
      <c r="P145" s="123" t="e">
        <f t="shared" si="23"/>
        <v>#DIV/0!</v>
      </c>
      <c r="R145" s="130" t="e">
        <f t="shared" si="24"/>
        <v>#DIV/0!</v>
      </c>
      <c r="S145" s="116" t="e">
        <f t="shared" si="18"/>
        <v>#DIV/0!</v>
      </c>
    </row>
    <row r="146" spans="8:19" ht="12">
      <c r="H146" s="126">
        <f t="shared" si="19"/>
        <v>0</v>
      </c>
      <c r="I146" s="126">
        <f t="shared" si="17"/>
        <v>0</v>
      </c>
      <c r="J146" s="119">
        <f t="shared" si="20"/>
        <v>16958.445050008624</v>
      </c>
      <c r="N146" s="122" t="e">
        <f t="shared" si="21"/>
        <v>#DIV/0!</v>
      </c>
      <c r="O146" s="122" t="e">
        <f t="shared" si="22"/>
        <v>#DIV/0!</v>
      </c>
      <c r="P146" s="123" t="e">
        <f t="shared" si="23"/>
        <v>#DIV/0!</v>
      </c>
      <c r="R146" s="130" t="e">
        <f t="shared" si="24"/>
        <v>#DIV/0!</v>
      </c>
      <c r="S146" s="116" t="e">
        <f t="shared" si="18"/>
        <v>#DIV/0!</v>
      </c>
    </row>
    <row r="147" spans="8:19" ht="12">
      <c r="H147" s="126">
        <f t="shared" si="19"/>
        <v>0</v>
      </c>
      <c r="I147" s="126">
        <f t="shared" si="17"/>
        <v>0</v>
      </c>
      <c r="J147" s="119">
        <f t="shared" si="20"/>
        <v>16958.445050008624</v>
      </c>
      <c r="N147" s="122" t="e">
        <f t="shared" si="21"/>
        <v>#DIV/0!</v>
      </c>
      <c r="O147" s="122" t="e">
        <f t="shared" si="22"/>
        <v>#DIV/0!</v>
      </c>
      <c r="P147" s="123" t="e">
        <f t="shared" si="23"/>
        <v>#DIV/0!</v>
      </c>
      <c r="R147" s="130" t="e">
        <f t="shared" si="24"/>
        <v>#DIV/0!</v>
      </c>
      <c r="S147" s="116" t="e">
        <f t="shared" si="18"/>
        <v>#DIV/0!</v>
      </c>
    </row>
    <row r="148" spans="8:19" ht="12">
      <c r="H148" s="126">
        <f t="shared" si="19"/>
        <v>0</v>
      </c>
      <c r="I148" s="126">
        <f t="shared" si="17"/>
        <v>0</v>
      </c>
      <c r="J148" s="119">
        <f t="shared" si="20"/>
        <v>16958.445050008624</v>
      </c>
      <c r="N148" s="122" t="e">
        <f t="shared" si="21"/>
        <v>#DIV/0!</v>
      </c>
      <c r="O148" s="122" t="e">
        <f t="shared" si="22"/>
        <v>#DIV/0!</v>
      </c>
      <c r="P148" s="123" t="e">
        <f t="shared" si="23"/>
        <v>#DIV/0!</v>
      </c>
      <c r="R148" s="130" t="e">
        <f t="shared" si="24"/>
        <v>#DIV/0!</v>
      </c>
      <c r="S148" s="116" t="e">
        <f t="shared" si="18"/>
        <v>#DIV/0!</v>
      </c>
    </row>
    <row r="149" spans="8:19" ht="12">
      <c r="H149" s="126">
        <f t="shared" si="19"/>
        <v>0</v>
      </c>
      <c r="I149" s="126">
        <f t="shared" si="17"/>
        <v>0</v>
      </c>
      <c r="J149" s="119">
        <f t="shared" si="20"/>
        <v>16958.445050008624</v>
      </c>
      <c r="N149" s="122" t="e">
        <f t="shared" si="21"/>
        <v>#DIV/0!</v>
      </c>
      <c r="O149" s="122" t="e">
        <f t="shared" si="22"/>
        <v>#DIV/0!</v>
      </c>
      <c r="P149" s="123" t="e">
        <f t="shared" si="23"/>
        <v>#DIV/0!</v>
      </c>
      <c r="R149" s="130" t="e">
        <f t="shared" si="24"/>
        <v>#DIV/0!</v>
      </c>
      <c r="S149" s="116" t="e">
        <f t="shared" si="18"/>
        <v>#DIV/0!</v>
      </c>
    </row>
    <row r="150" spans="8:19" ht="12">
      <c r="H150" s="126">
        <f t="shared" si="19"/>
        <v>0</v>
      </c>
      <c r="I150" s="126">
        <f>H150*111.14/60</f>
        <v>0</v>
      </c>
      <c r="J150" s="119">
        <f t="shared" si="20"/>
        <v>16958.445050008624</v>
      </c>
      <c r="N150" s="122" t="e">
        <f t="shared" si="21"/>
        <v>#DIV/0!</v>
      </c>
      <c r="O150" s="122" t="e">
        <f t="shared" si="22"/>
        <v>#DIV/0!</v>
      </c>
      <c r="P150" s="123" t="e">
        <f t="shared" si="23"/>
        <v>#DIV/0!</v>
      </c>
      <c r="R150" s="130" t="e">
        <f t="shared" si="24"/>
        <v>#DIV/0!</v>
      </c>
      <c r="S150" s="116" t="e">
        <f>R150/24</f>
        <v>#DIV/0!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C121"/>
  <sheetViews>
    <sheetView workbookViewId="0" topLeftCell="A2">
      <pane ySplit="1605" topLeftCell="BM32" activePane="bottomLeft" state="split"/>
      <selection pane="topLeft" activeCell="A3" sqref="A3:IV4"/>
      <selection pane="bottomLeft" activeCell="B55" sqref="B55"/>
    </sheetView>
  </sheetViews>
  <sheetFormatPr defaultColWidth="9.00390625" defaultRowHeight="12"/>
  <cols>
    <col min="1" max="1" width="7.375" style="0" customWidth="1"/>
    <col min="2" max="2" width="15.875" style="0" customWidth="1"/>
    <col min="3" max="3" width="6.375" style="0" customWidth="1"/>
    <col min="4" max="4" width="7.125" style="0" customWidth="1"/>
    <col min="5" max="5" width="2.00390625" style="0" customWidth="1"/>
    <col min="6" max="6" width="6.375" style="0" customWidth="1"/>
    <col min="7" max="7" width="5.375" style="0" customWidth="1"/>
    <col min="8" max="8" width="2.375" style="0" customWidth="1"/>
    <col min="9" max="9" width="7.375" style="0" customWidth="1"/>
    <col min="10" max="10" width="5.875" style="0" customWidth="1"/>
    <col min="11" max="12" width="7.375" style="0" customWidth="1"/>
    <col min="13" max="14" width="13.375" style="0" customWidth="1"/>
    <col min="15" max="16" width="8.875" style="0" customWidth="1"/>
    <col min="17" max="17" width="8.875" style="83" customWidth="1"/>
    <col min="18" max="16384" width="8.875" style="0" customWidth="1"/>
  </cols>
  <sheetData>
    <row r="1" spans="1:18" ht="12">
      <c r="A1" s="174" t="s">
        <v>12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59" t="s">
        <v>107</v>
      </c>
    </row>
    <row r="2" spans="1:18" ht="12">
      <c r="A2" s="176" t="s">
        <v>106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60"/>
    </row>
    <row r="3" spans="1:25" ht="12">
      <c r="A3" s="56"/>
      <c r="B3" s="50" t="s">
        <v>13</v>
      </c>
      <c r="C3" s="51"/>
      <c r="D3" s="52" t="s">
        <v>14</v>
      </c>
      <c r="E3" s="18"/>
      <c r="F3" s="49"/>
      <c r="G3" s="52" t="s">
        <v>15</v>
      </c>
      <c r="H3" s="17"/>
      <c r="I3" s="18" t="s">
        <v>16</v>
      </c>
      <c r="J3" s="19" t="s">
        <v>17</v>
      </c>
      <c r="K3" s="19" t="s">
        <v>18</v>
      </c>
      <c r="L3" s="19" t="s">
        <v>19</v>
      </c>
      <c r="M3" s="20" t="s">
        <v>20</v>
      </c>
      <c r="N3" s="17" t="s">
        <v>21</v>
      </c>
      <c r="O3" s="53" t="s">
        <v>22</v>
      </c>
      <c r="P3" s="16"/>
      <c r="Q3" s="78" t="s">
        <v>111</v>
      </c>
      <c r="R3" s="58"/>
      <c r="S3" s="1"/>
      <c r="T3" t="s">
        <v>23</v>
      </c>
      <c r="U3" t="s">
        <v>24</v>
      </c>
      <c r="Y3" s="11" t="s">
        <v>34</v>
      </c>
    </row>
    <row r="4" spans="1:25" ht="12">
      <c r="A4" s="54" t="s">
        <v>110</v>
      </c>
      <c r="B4" s="16"/>
      <c r="C4" s="17" t="s">
        <v>25</v>
      </c>
      <c r="D4" s="18" t="s">
        <v>26</v>
      </c>
      <c r="E4" s="14"/>
      <c r="F4" s="19" t="s">
        <v>25</v>
      </c>
      <c r="G4" s="15" t="s">
        <v>26</v>
      </c>
      <c r="H4" s="14"/>
      <c r="I4" s="18" t="s">
        <v>27</v>
      </c>
      <c r="J4" s="19" t="s">
        <v>28</v>
      </c>
      <c r="K4" s="19" t="s">
        <v>29</v>
      </c>
      <c r="L4" s="19" t="s">
        <v>29</v>
      </c>
      <c r="M4" s="19" t="s">
        <v>35</v>
      </c>
      <c r="N4" s="20" t="s">
        <v>35</v>
      </c>
      <c r="O4" s="17" t="s">
        <v>29</v>
      </c>
      <c r="P4" s="17" t="s">
        <v>30</v>
      </c>
      <c r="Q4" s="79" t="s">
        <v>112</v>
      </c>
      <c r="R4" s="2"/>
      <c r="S4" s="1"/>
      <c r="T4" t="s">
        <v>31</v>
      </c>
      <c r="U4" t="s">
        <v>31</v>
      </c>
      <c r="Y4" s="11"/>
    </row>
    <row r="5" spans="1:28" s="5" customFormat="1" ht="12">
      <c r="A5" s="57"/>
      <c r="B5" s="55"/>
      <c r="C5" s="21"/>
      <c r="D5" s="22"/>
      <c r="E5" s="21"/>
      <c r="F5" s="23"/>
      <c r="G5" s="22"/>
      <c r="H5" s="24"/>
      <c r="I5" s="25"/>
      <c r="J5" s="26"/>
      <c r="K5" s="27"/>
      <c r="L5" s="27"/>
      <c r="M5" s="28"/>
      <c r="N5" s="28"/>
      <c r="O5" s="29"/>
      <c r="P5" s="29"/>
      <c r="Q5" s="80"/>
      <c r="R5" s="3"/>
      <c r="T5" s="6">
        <f>IF(E5="N",1,-1)</f>
        <v>-1</v>
      </c>
      <c r="U5" s="4">
        <f>IF(H5="W",1,-1)</f>
        <v>-1</v>
      </c>
      <c r="V5" s="5">
        <f aca="true" t="shared" si="0" ref="V5:V76">C5</f>
        <v>0</v>
      </c>
      <c r="W5" s="5">
        <f aca="true" t="shared" si="1" ref="W5:W76">E5</f>
        <v>0</v>
      </c>
      <c r="Y5" s="12"/>
      <c r="Z5" s="7"/>
      <c r="AA5" s="8"/>
      <c r="AB5" s="7"/>
    </row>
    <row r="6" ht="4.5" customHeight="1">
      <c r="Q6"/>
    </row>
    <row r="7" ht="4.5" customHeight="1">
      <c r="Q7"/>
    </row>
    <row r="8" ht="4.5" customHeight="1">
      <c r="Q8"/>
    </row>
    <row r="9" ht="4.5" customHeight="1">
      <c r="Q9"/>
    </row>
    <row r="10" ht="4.5" customHeight="1">
      <c r="Q10"/>
    </row>
    <row r="11" ht="4.5" customHeight="1">
      <c r="Q11"/>
    </row>
    <row r="12" ht="4.5" customHeight="1">
      <c r="Q12"/>
    </row>
    <row r="13" spans="1:17" ht="13.5" customHeight="1">
      <c r="A13" t="s">
        <v>116</v>
      </c>
      <c r="K13" t="s">
        <v>108</v>
      </c>
      <c r="M13" s="66"/>
      <c r="N13" s="66"/>
      <c r="Q13"/>
    </row>
    <row r="14" spans="1:28" s="10" customFormat="1" ht="12">
      <c r="A14" s="48"/>
      <c r="B14" s="61" t="s">
        <v>36</v>
      </c>
      <c r="C14" s="62">
        <v>29</v>
      </c>
      <c r="D14" s="63">
        <v>18</v>
      </c>
      <c r="E14" s="62" t="s">
        <v>32</v>
      </c>
      <c r="F14" s="62">
        <v>94</v>
      </c>
      <c r="G14" s="63">
        <v>48</v>
      </c>
      <c r="H14" s="37" t="s">
        <v>33</v>
      </c>
      <c r="I14" s="38">
        <v>0</v>
      </c>
      <c r="J14" s="64">
        <v>9</v>
      </c>
      <c r="K14" s="65">
        <v>4618</v>
      </c>
      <c r="L14" s="41">
        <v>0</v>
      </c>
      <c r="M14" s="42">
        <f>N13+K14/24</f>
        <v>192.41666666666666</v>
      </c>
      <c r="N14" s="66">
        <f aca="true" t="shared" si="2" ref="N14:N37">M14+L14/24</f>
        <v>192.41666666666666</v>
      </c>
      <c r="O14" s="67">
        <f>O13+K14+L14-4618</f>
        <v>0</v>
      </c>
      <c r="P14" s="67">
        <f aca="true" t="shared" si="3" ref="P14:P71">O14/24</f>
        <v>0</v>
      </c>
      <c r="Q14" s="77">
        <f>P14-$P$14</f>
        <v>0</v>
      </c>
      <c r="R14" s="9"/>
      <c r="T14" s="69">
        <f aca="true" t="shared" si="4" ref="T14:T77">IF(E14="N",1,-1)</f>
        <v>1</v>
      </c>
      <c r="U14" s="13">
        <f aca="true" t="shared" si="5" ref="U14:U77">IF(H14="W",1,-1)</f>
        <v>1</v>
      </c>
      <c r="V14" s="13">
        <f t="shared" si="0"/>
        <v>29</v>
      </c>
      <c r="W14" s="13" t="str">
        <f t="shared" si="1"/>
        <v>N</v>
      </c>
      <c r="Y14" s="13">
        <v>2</v>
      </c>
      <c r="Z14" s="45"/>
      <c r="AA14" s="46"/>
      <c r="AB14" s="45"/>
    </row>
    <row r="15" spans="1:28" s="10" customFormat="1" ht="12">
      <c r="A15" s="48"/>
      <c r="B15" s="47" t="s">
        <v>109</v>
      </c>
      <c r="C15" s="62">
        <v>29</v>
      </c>
      <c r="D15" s="63">
        <v>0</v>
      </c>
      <c r="E15" s="62" t="s">
        <v>32</v>
      </c>
      <c r="F15" s="62">
        <v>95</v>
      </c>
      <c r="G15" s="63">
        <v>0</v>
      </c>
      <c r="H15" s="44" t="s">
        <v>33</v>
      </c>
      <c r="I15" s="38">
        <f>180/PI()*60*ACOS((SIN(PI()/180*T14*(C14+D14/60))*SIN(PI()/180*T15*(C15+D15/60)))+(COS(PI()/180*T14*(C14+D14/60))*COS(PI()/180*T15*(C15+D15/60))*COS(PI()/180*(U15*(F15+G15/60)-U14*(F14+G14/60)))))</f>
        <v>20.82866888006803</v>
      </c>
      <c r="J15" s="64">
        <v>9</v>
      </c>
      <c r="K15" s="65">
        <f>I15/J15</f>
        <v>2.314296542229781</v>
      </c>
      <c r="L15" s="41">
        <v>0</v>
      </c>
      <c r="M15" s="42">
        <f>N14+K15/24</f>
        <v>192.51309568925956</v>
      </c>
      <c r="N15" s="66">
        <f t="shared" si="2"/>
        <v>192.51309568925956</v>
      </c>
      <c r="O15" s="67">
        <f>O14+K15+L15</f>
        <v>2.314296542229781</v>
      </c>
      <c r="P15" s="67">
        <f t="shared" si="3"/>
        <v>0.09642902259290755</v>
      </c>
      <c r="Q15" s="81">
        <f>P15-$P$14</f>
        <v>0.09642902259290755</v>
      </c>
      <c r="R15" s="9"/>
      <c r="T15" s="69">
        <f t="shared" si="4"/>
        <v>1</v>
      </c>
      <c r="U15" s="13">
        <f t="shared" si="5"/>
        <v>1</v>
      </c>
      <c r="V15" s="13">
        <f t="shared" si="0"/>
        <v>29</v>
      </c>
      <c r="W15" s="13" t="str">
        <f t="shared" si="1"/>
        <v>N</v>
      </c>
      <c r="Y15" s="13">
        <v>2</v>
      </c>
      <c r="Z15" s="45"/>
      <c r="AA15" s="46"/>
      <c r="AB15" s="45"/>
    </row>
    <row r="16" spans="1:28" s="10" customFormat="1" ht="12">
      <c r="A16" s="85">
        <v>1000</v>
      </c>
      <c r="B16" s="47" t="s">
        <v>86</v>
      </c>
      <c r="C16" s="62">
        <v>29</v>
      </c>
      <c r="D16" s="63">
        <v>0</v>
      </c>
      <c r="E16" s="62" t="s">
        <v>32</v>
      </c>
      <c r="F16" s="62">
        <v>95</v>
      </c>
      <c r="G16" s="63">
        <v>0</v>
      </c>
      <c r="H16" s="44" t="s">
        <v>33</v>
      </c>
      <c r="I16" s="38">
        <f aca="true" t="shared" si="6" ref="I16:I81">180/PI()*60*ACOS((SIN(PI()/180*T15*(C15+D15/60))*SIN(PI()/180*T16*(C16+D16/60)))+(COS(PI()/180*T15*(C15+D15/60))*COS(PI()/180*T16*(C16+D16/60))*COS(PI()/180*(U16*(F16+G16/60)-U15*(F15+G15/60)))))</f>
        <v>5.122641877509563E-05</v>
      </c>
      <c r="J16" s="64">
        <v>9</v>
      </c>
      <c r="K16" s="40">
        <f aca="true" t="shared" si="7" ref="K16:K72">I16/J16</f>
        <v>5.691824308343959E-06</v>
      </c>
      <c r="L16" s="41">
        <f>A16*2/50/60+2.2</f>
        <v>2.8666666666666667</v>
      </c>
      <c r="M16" s="42">
        <f>N15+K16/24</f>
        <v>192.5130959264189</v>
      </c>
      <c r="N16" s="66">
        <f t="shared" si="2"/>
        <v>192.63254037086335</v>
      </c>
      <c r="O16" s="67">
        <f aca="true" t="shared" si="8" ref="O16:O76">O15+K16+L16</f>
        <v>5.180968900720757</v>
      </c>
      <c r="P16" s="67">
        <f t="shared" si="3"/>
        <v>0.21587370419669819</v>
      </c>
      <c r="Q16" s="81">
        <f aca="true" t="shared" si="9" ref="Q16:Q81">P16-$P$14</f>
        <v>0.21587370419669819</v>
      </c>
      <c r="R16" s="9"/>
      <c r="T16" s="69">
        <f t="shared" si="4"/>
        <v>1</v>
      </c>
      <c r="U16" s="13">
        <f t="shared" si="5"/>
        <v>1</v>
      </c>
      <c r="V16" s="13">
        <f t="shared" si="0"/>
        <v>29</v>
      </c>
      <c r="W16" s="13" t="str">
        <f t="shared" si="1"/>
        <v>N</v>
      </c>
      <c r="Y16" s="13">
        <v>2</v>
      </c>
      <c r="Z16" s="45"/>
      <c r="AA16" s="46"/>
      <c r="AB16" s="45"/>
    </row>
    <row r="17" spans="1:28" s="10" customFormat="1" ht="12">
      <c r="A17" s="85">
        <v>1000</v>
      </c>
      <c r="B17" s="47" t="s">
        <v>87</v>
      </c>
      <c r="C17" s="62">
        <v>28</v>
      </c>
      <c r="D17" s="63">
        <v>40</v>
      </c>
      <c r="E17" s="62" t="s">
        <v>32</v>
      </c>
      <c r="F17" s="62">
        <v>95</v>
      </c>
      <c r="G17" s="63">
        <v>0</v>
      </c>
      <c r="H17" s="44" t="s">
        <v>33</v>
      </c>
      <c r="I17" s="38">
        <f t="shared" si="6"/>
        <v>19.999999999972292</v>
      </c>
      <c r="J17" s="64">
        <v>9</v>
      </c>
      <c r="K17" s="40">
        <f t="shared" si="7"/>
        <v>2.2222222222191435</v>
      </c>
      <c r="L17" s="41">
        <f aca="true" t="shared" si="10" ref="L17:L35">A17*2/50/60+2.2</f>
        <v>2.8666666666666667</v>
      </c>
      <c r="M17" s="42">
        <f>N16+K17/24</f>
        <v>192.72513296345582</v>
      </c>
      <c r="N17" s="66">
        <f t="shared" si="2"/>
        <v>192.84457740790026</v>
      </c>
      <c r="O17" s="67">
        <f t="shared" si="8"/>
        <v>10.269857789606567</v>
      </c>
      <c r="P17" s="67">
        <f t="shared" si="3"/>
        <v>0.42791074123360695</v>
      </c>
      <c r="Q17" s="81">
        <f t="shared" si="9"/>
        <v>0.42791074123360695</v>
      </c>
      <c r="R17" s="9"/>
      <c r="T17" s="69">
        <f t="shared" si="4"/>
        <v>1</v>
      </c>
      <c r="U17" s="13">
        <f t="shared" si="5"/>
        <v>1</v>
      </c>
      <c r="V17" s="10">
        <f t="shared" si="0"/>
        <v>28</v>
      </c>
      <c r="W17" s="13" t="str">
        <f t="shared" si="1"/>
        <v>N</v>
      </c>
      <c r="Y17" s="13">
        <v>2</v>
      </c>
      <c r="Z17" s="45"/>
      <c r="AA17" s="46"/>
      <c r="AB17" s="45"/>
    </row>
    <row r="18" spans="1:28" s="10" customFormat="1" ht="12">
      <c r="A18" s="85">
        <v>1000</v>
      </c>
      <c r="B18" s="47" t="s">
        <v>88</v>
      </c>
      <c r="C18" s="62">
        <v>28</v>
      </c>
      <c r="D18" s="63">
        <v>20</v>
      </c>
      <c r="E18" s="62" t="s">
        <v>32</v>
      </c>
      <c r="F18" s="62">
        <v>95</v>
      </c>
      <c r="G18" s="63">
        <v>0</v>
      </c>
      <c r="H18" s="44" t="s">
        <v>33</v>
      </c>
      <c r="I18" s="38">
        <f t="shared" si="6"/>
        <v>19.999999999972292</v>
      </c>
      <c r="J18" s="64">
        <v>9</v>
      </c>
      <c r="K18" s="40">
        <f t="shared" si="7"/>
        <v>2.2222222222191435</v>
      </c>
      <c r="L18" s="41">
        <f t="shared" si="10"/>
        <v>2.8666666666666667</v>
      </c>
      <c r="M18" s="42">
        <f>N17+K18/24</f>
        <v>192.93717000049273</v>
      </c>
      <c r="N18" s="66">
        <f t="shared" si="2"/>
        <v>193.05661444493717</v>
      </c>
      <c r="O18" s="67">
        <f t="shared" si="8"/>
        <v>15.358746678492377</v>
      </c>
      <c r="P18" s="67">
        <f t="shared" si="3"/>
        <v>0.6399477782705157</v>
      </c>
      <c r="Q18" s="81">
        <f t="shared" si="9"/>
        <v>0.6399477782705157</v>
      </c>
      <c r="R18" s="9"/>
      <c r="T18" s="69">
        <f t="shared" si="4"/>
        <v>1</v>
      </c>
      <c r="U18" s="13">
        <f t="shared" si="5"/>
        <v>1</v>
      </c>
      <c r="V18" s="10">
        <f t="shared" si="0"/>
        <v>28</v>
      </c>
      <c r="W18" s="13" t="str">
        <f t="shared" si="1"/>
        <v>N</v>
      </c>
      <c r="Y18" s="13">
        <v>2</v>
      </c>
      <c r="Z18" s="45"/>
      <c r="AA18" s="46"/>
      <c r="AB18" s="45"/>
    </row>
    <row r="19" spans="1:28" s="10" customFormat="1" ht="12">
      <c r="A19" s="85">
        <v>1000</v>
      </c>
      <c r="B19" s="47" t="s">
        <v>89</v>
      </c>
      <c r="C19" s="62">
        <v>28</v>
      </c>
      <c r="D19" s="63">
        <v>0</v>
      </c>
      <c r="E19" s="62" t="s">
        <v>32</v>
      </c>
      <c r="F19" s="62">
        <v>95</v>
      </c>
      <c r="G19" s="63">
        <v>0</v>
      </c>
      <c r="H19" s="44" t="s">
        <v>33</v>
      </c>
      <c r="I19" s="38">
        <f t="shared" si="6"/>
        <v>20.00000000003794</v>
      </c>
      <c r="J19" s="64">
        <v>9</v>
      </c>
      <c r="K19" s="40">
        <f t="shared" si="7"/>
        <v>2.2222222222264376</v>
      </c>
      <c r="L19" s="41">
        <f t="shared" si="10"/>
        <v>2.8666666666666667</v>
      </c>
      <c r="M19" s="42">
        <f aca="true" t="shared" si="11" ref="M19:M84">N18+K19/24</f>
        <v>193.14920703752995</v>
      </c>
      <c r="N19" s="43">
        <f t="shared" si="2"/>
        <v>193.2686514819744</v>
      </c>
      <c r="O19" s="67">
        <f t="shared" si="8"/>
        <v>20.447635567385483</v>
      </c>
      <c r="P19" s="67">
        <f t="shared" si="3"/>
        <v>0.8519848153077284</v>
      </c>
      <c r="Q19" s="81">
        <f t="shared" si="9"/>
        <v>0.8519848153077284</v>
      </c>
      <c r="R19" s="9"/>
      <c r="T19" s="69">
        <f t="shared" si="4"/>
        <v>1</v>
      </c>
      <c r="U19" s="13">
        <f t="shared" si="5"/>
        <v>1</v>
      </c>
      <c r="V19" s="10">
        <f t="shared" si="0"/>
        <v>28</v>
      </c>
      <c r="W19" s="13" t="str">
        <f t="shared" si="1"/>
        <v>N</v>
      </c>
      <c r="Y19" s="13">
        <v>2</v>
      </c>
      <c r="Z19" s="45"/>
      <c r="AA19" s="46"/>
      <c r="AB19" s="45"/>
    </row>
    <row r="20" spans="1:28" s="10" customFormat="1" ht="12">
      <c r="A20" s="85">
        <v>1000</v>
      </c>
      <c r="B20" s="47" t="s">
        <v>90</v>
      </c>
      <c r="C20" s="62">
        <v>27</v>
      </c>
      <c r="D20" s="63">
        <v>40</v>
      </c>
      <c r="E20" s="62" t="s">
        <v>32</v>
      </c>
      <c r="F20" s="62">
        <v>95</v>
      </c>
      <c r="G20" s="63">
        <v>0</v>
      </c>
      <c r="H20" s="44" t="s">
        <v>33</v>
      </c>
      <c r="I20" s="38">
        <f t="shared" si="6"/>
        <v>19.999999999972292</v>
      </c>
      <c r="J20" s="64">
        <v>9</v>
      </c>
      <c r="K20" s="40">
        <f t="shared" si="7"/>
        <v>2.2222222222191435</v>
      </c>
      <c r="L20" s="41">
        <f t="shared" si="10"/>
        <v>2.8666666666666667</v>
      </c>
      <c r="M20" s="42">
        <f t="shared" si="11"/>
        <v>193.36124407456686</v>
      </c>
      <c r="N20" s="43">
        <f t="shared" si="2"/>
        <v>193.4806885190113</v>
      </c>
      <c r="O20" s="67">
        <f t="shared" si="8"/>
        <v>25.536524456271295</v>
      </c>
      <c r="P20" s="67">
        <f t="shared" si="3"/>
        <v>1.0640218523446372</v>
      </c>
      <c r="Q20" s="81">
        <f t="shared" si="9"/>
        <v>1.0640218523446372</v>
      </c>
      <c r="R20" s="9"/>
      <c r="T20" s="69">
        <f t="shared" si="4"/>
        <v>1</v>
      </c>
      <c r="U20" s="13">
        <f t="shared" si="5"/>
        <v>1</v>
      </c>
      <c r="V20" s="10">
        <f t="shared" si="0"/>
        <v>27</v>
      </c>
      <c r="W20" s="13" t="str">
        <f t="shared" si="1"/>
        <v>N</v>
      </c>
      <c r="Y20" s="13">
        <v>2</v>
      </c>
      <c r="Z20" s="45"/>
      <c r="AA20" s="46"/>
      <c r="AB20" s="45"/>
    </row>
    <row r="21" spans="1:28" s="10" customFormat="1" ht="12">
      <c r="A21" s="85">
        <v>1000</v>
      </c>
      <c r="B21" s="47" t="s">
        <v>91</v>
      </c>
      <c r="C21" s="62">
        <v>27</v>
      </c>
      <c r="D21" s="63">
        <v>20</v>
      </c>
      <c r="E21" s="62" t="s">
        <v>32</v>
      </c>
      <c r="F21" s="62">
        <v>95</v>
      </c>
      <c r="G21" s="63">
        <v>0</v>
      </c>
      <c r="H21" s="44" t="s">
        <v>33</v>
      </c>
      <c r="I21" s="38">
        <f t="shared" si="6"/>
        <v>19.999999999972292</v>
      </c>
      <c r="J21" s="64">
        <v>9</v>
      </c>
      <c r="K21" s="40">
        <f t="shared" si="7"/>
        <v>2.2222222222191435</v>
      </c>
      <c r="L21" s="41">
        <f t="shared" si="10"/>
        <v>2.8666666666666667</v>
      </c>
      <c r="M21" s="42">
        <f t="shared" si="11"/>
        <v>193.57328111160376</v>
      </c>
      <c r="N21" s="43">
        <f t="shared" si="2"/>
        <v>193.6927255560482</v>
      </c>
      <c r="O21" s="67">
        <f t="shared" si="8"/>
        <v>30.625413345157106</v>
      </c>
      <c r="P21" s="67">
        <f t="shared" si="3"/>
        <v>1.276058889381546</v>
      </c>
      <c r="Q21" s="81">
        <f t="shared" si="9"/>
        <v>1.276058889381546</v>
      </c>
      <c r="R21" s="9"/>
      <c r="T21" s="69">
        <f t="shared" si="4"/>
        <v>1</v>
      </c>
      <c r="U21" s="13">
        <f t="shared" si="5"/>
        <v>1</v>
      </c>
      <c r="V21" s="10">
        <f t="shared" si="0"/>
        <v>27</v>
      </c>
      <c r="W21" s="13" t="str">
        <f t="shared" si="1"/>
        <v>N</v>
      </c>
      <c r="Y21" s="13">
        <v>2</v>
      </c>
      <c r="Z21" s="45"/>
      <c r="AA21" s="46"/>
      <c r="AB21" s="45"/>
    </row>
    <row r="22" spans="1:28" s="10" customFormat="1" ht="12">
      <c r="A22" s="85">
        <v>1000</v>
      </c>
      <c r="B22" s="47" t="s">
        <v>92</v>
      </c>
      <c r="C22" s="62">
        <v>27</v>
      </c>
      <c r="D22" s="63">
        <v>0</v>
      </c>
      <c r="E22" s="62" t="s">
        <v>32</v>
      </c>
      <c r="F22" s="62">
        <v>95</v>
      </c>
      <c r="G22" s="63">
        <v>0</v>
      </c>
      <c r="H22" s="44" t="s">
        <v>33</v>
      </c>
      <c r="I22" s="38">
        <f t="shared" si="6"/>
        <v>19.999999999972292</v>
      </c>
      <c r="J22" s="64">
        <v>9</v>
      </c>
      <c r="K22" s="40">
        <f t="shared" si="7"/>
        <v>2.2222222222191435</v>
      </c>
      <c r="L22" s="41">
        <f t="shared" si="10"/>
        <v>2.8666666666666667</v>
      </c>
      <c r="M22" s="42">
        <f t="shared" si="11"/>
        <v>193.78531814864067</v>
      </c>
      <c r="N22" s="43">
        <f t="shared" si="2"/>
        <v>193.9047625930851</v>
      </c>
      <c r="O22" s="67">
        <f t="shared" si="8"/>
        <v>35.71430223404292</v>
      </c>
      <c r="P22" s="67">
        <f t="shared" si="3"/>
        <v>1.488095926418455</v>
      </c>
      <c r="Q22" s="81">
        <f t="shared" si="9"/>
        <v>1.488095926418455</v>
      </c>
      <c r="R22" s="9"/>
      <c r="T22" s="69">
        <f t="shared" si="4"/>
        <v>1</v>
      </c>
      <c r="U22" s="13">
        <f t="shared" si="5"/>
        <v>1</v>
      </c>
      <c r="V22" s="10">
        <f t="shared" si="0"/>
        <v>27</v>
      </c>
      <c r="W22" s="13" t="str">
        <f t="shared" si="1"/>
        <v>N</v>
      </c>
      <c r="Y22" s="13">
        <v>2</v>
      </c>
      <c r="Z22" s="45"/>
      <c r="AA22" s="46"/>
      <c r="AB22" s="45"/>
    </row>
    <row r="23" spans="1:28" s="10" customFormat="1" ht="12">
      <c r="A23" s="85">
        <v>1000</v>
      </c>
      <c r="B23" s="47" t="s">
        <v>93</v>
      </c>
      <c r="C23" s="62">
        <v>26</v>
      </c>
      <c r="D23" s="63">
        <v>40</v>
      </c>
      <c r="E23" s="62" t="s">
        <v>32</v>
      </c>
      <c r="F23" s="62">
        <v>95</v>
      </c>
      <c r="G23" s="63">
        <v>0</v>
      </c>
      <c r="H23" s="44" t="s">
        <v>33</v>
      </c>
      <c r="I23" s="38">
        <f t="shared" si="6"/>
        <v>19.999999999972292</v>
      </c>
      <c r="J23" s="64">
        <v>9</v>
      </c>
      <c r="K23" s="40">
        <f t="shared" si="7"/>
        <v>2.2222222222191435</v>
      </c>
      <c r="L23" s="41">
        <f t="shared" si="10"/>
        <v>2.8666666666666667</v>
      </c>
      <c r="M23" s="42">
        <f t="shared" si="11"/>
        <v>193.99735518567758</v>
      </c>
      <c r="N23" s="43">
        <f t="shared" si="2"/>
        <v>194.11679963012202</v>
      </c>
      <c r="O23" s="67">
        <f t="shared" si="8"/>
        <v>40.80319112292873</v>
      </c>
      <c r="P23" s="67">
        <f t="shared" si="3"/>
        <v>1.7001329634553637</v>
      </c>
      <c r="Q23" s="81">
        <f t="shared" si="9"/>
        <v>1.7001329634553637</v>
      </c>
      <c r="R23" s="9"/>
      <c r="T23" s="69">
        <f t="shared" si="4"/>
        <v>1</v>
      </c>
      <c r="U23" s="13">
        <f t="shared" si="5"/>
        <v>1</v>
      </c>
      <c r="V23" s="10">
        <f t="shared" si="0"/>
        <v>26</v>
      </c>
      <c r="W23" s="13" t="str">
        <f t="shared" si="1"/>
        <v>N</v>
      </c>
      <c r="Y23" s="13">
        <v>2</v>
      </c>
      <c r="Z23" s="45"/>
      <c r="AA23" s="46"/>
      <c r="AB23" s="45"/>
    </row>
    <row r="24" spans="1:28" s="10" customFormat="1" ht="12">
      <c r="A24" s="85">
        <v>1000</v>
      </c>
      <c r="B24" s="47" t="s">
        <v>94</v>
      </c>
      <c r="C24" s="62">
        <v>26</v>
      </c>
      <c r="D24" s="63">
        <v>20</v>
      </c>
      <c r="E24" s="62" t="s">
        <v>32</v>
      </c>
      <c r="F24" s="62">
        <v>95</v>
      </c>
      <c r="G24" s="63">
        <v>0</v>
      </c>
      <c r="H24" s="44" t="s">
        <v>33</v>
      </c>
      <c r="I24" s="38">
        <f t="shared" si="6"/>
        <v>19.999999999972292</v>
      </c>
      <c r="J24" s="64">
        <v>9</v>
      </c>
      <c r="K24" s="40">
        <f t="shared" si="7"/>
        <v>2.2222222222191435</v>
      </c>
      <c r="L24" s="41">
        <f t="shared" si="10"/>
        <v>2.8666666666666667</v>
      </c>
      <c r="M24" s="42">
        <f t="shared" si="11"/>
        <v>194.20939222271448</v>
      </c>
      <c r="N24" s="43">
        <f t="shared" si="2"/>
        <v>194.32883666715892</v>
      </c>
      <c r="O24" s="67">
        <f t="shared" si="8"/>
        <v>45.89208001181454</v>
      </c>
      <c r="P24" s="67">
        <f t="shared" si="3"/>
        <v>1.9121700004922726</v>
      </c>
      <c r="Q24" s="81">
        <f t="shared" si="9"/>
        <v>1.9121700004922726</v>
      </c>
      <c r="R24" s="9"/>
      <c r="T24" s="69">
        <f t="shared" si="4"/>
        <v>1</v>
      </c>
      <c r="U24" s="13">
        <f t="shared" si="5"/>
        <v>1</v>
      </c>
      <c r="V24" s="10">
        <f t="shared" si="0"/>
        <v>26</v>
      </c>
      <c r="W24" s="13" t="str">
        <f t="shared" si="1"/>
        <v>N</v>
      </c>
      <c r="Y24" s="13">
        <v>2</v>
      </c>
      <c r="Z24" s="45"/>
      <c r="AA24" s="46"/>
      <c r="AB24" s="45"/>
    </row>
    <row r="25" spans="1:28" s="10" customFormat="1" ht="12">
      <c r="A25" s="85">
        <v>1000</v>
      </c>
      <c r="B25" s="47" t="s">
        <v>95</v>
      </c>
      <c r="C25" s="62">
        <v>26</v>
      </c>
      <c r="D25" s="63">
        <v>0</v>
      </c>
      <c r="E25" s="62" t="s">
        <v>32</v>
      </c>
      <c r="F25" s="62">
        <v>95</v>
      </c>
      <c r="G25" s="63">
        <v>0</v>
      </c>
      <c r="H25" s="44" t="s">
        <v>33</v>
      </c>
      <c r="I25" s="38">
        <f t="shared" si="6"/>
        <v>19.999999999972292</v>
      </c>
      <c r="J25" s="64">
        <v>9</v>
      </c>
      <c r="K25" s="40">
        <f t="shared" si="7"/>
        <v>2.2222222222191435</v>
      </c>
      <c r="L25" s="41">
        <f t="shared" si="10"/>
        <v>2.8666666666666667</v>
      </c>
      <c r="M25" s="42">
        <f t="shared" si="11"/>
        <v>194.4214292597514</v>
      </c>
      <c r="N25" s="43">
        <f t="shared" si="2"/>
        <v>194.54087370419583</v>
      </c>
      <c r="O25" s="67">
        <f t="shared" si="8"/>
        <v>50.980968900700354</v>
      </c>
      <c r="P25" s="67">
        <f t="shared" si="3"/>
        <v>2.1242070375291813</v>
      </c>
      <c r="Q25" s="81">
        <f t="shared" si="9"/>
        <v>2.1242070375291813</v>
      </c>
      <c r="R25" s="9"/>
      <c r="T25" s="69">
        <f t="shared" si="4"/>
        <v>1</v>
      </c>
      <c r="U25" s="13">
        <f t="shared" si="5"/>
        <v>1</v>
      </c>
      <c r="V25" s="10">
        <f t="shared" si="0"/>
        <v>26</v>
      </c>
      <c r="W25" s="13" t="str">
        <f t="shared" si="1"/>
        <v>N</v>
      </c>
      <c r="Y25" s="13">
        <v>2</v>
      </c>
      <c r="Z25" s="45"/>
      <c r="AA25" s="46"/>
      <c r="AB25" s="45"/>
    </row>
    <row r="26" spans="1:28" s="10" customFormat="1" ht="12">
      <c r="A26" s="85">
        <v>1000</v>
      </c>
      <c r="B26" s="47" t="s">
        <v>96</v>
      </c>
      <c r="C26" s="62">
        <v>29</v>
      </c>
      <c r="D26" s="63">
        <v>0</v>
      </c>
      <c r="E26" s="62" t="s">
        <v>32</v>
      </c>
      <c r="F26" s="62">
        <v>90</v>
      </c>
      <c r="G26" s="63">
        <v>0</v>
      </c>
      <c r="H26" s="44" t="s">
        <v>33</v>
      </c>
      <c r="I26" s="38">
        <f t="shared" si="6"/>
        <v>321.2040091297226</v>
      </c>
      <c r="J26" s="64">
        <v>12</v>
      </c>
      <c r="K26" s="40">
        <f t="shared" si="7"/>
        <v>26.767000760810216</v>
      </c>
      <c r="L26" s="41">
        <f t="shared" si="10"/>
        <v>2.8666666666666667</v>
      </c>
      <c r="M26" s="42">
        <f t="shared" si="11"/>
        <v>195.65616540256292</v>
      </c>
      <c r="N26" s="43">
        <f t="shared" si="2"/>
        <v>195.77560984700736</v>
      </c>
      <c r="O26" s="67">
        <f t="shared" si="8"/>
        <v>80.61463632817723</v>
      </c>
      <c r="P26" s="67">
        <f t="shared" si="3"/>
        <v>3.358943180340718</v>
      </c>
      <c r="Q26" s="81">
        <f t="shared" si="9"/>
        <v>3.358943180340718</v>
      </c>
      <c r="R26" s="9"/>
      <c r="T26" s="69">
        <f t="shared" si="4"/>
        <v>1</v>
      </c>
      <c r="U26" s="13">
        <f t="shared" si="5"/>
        <v>1</v>
      </c>
      <c r="V26" s="10">
        <f t="shared" si="0"/>
        <v>29</v>
      </c>
      <c r="W26" s="13" t="str">
        <f t="shared" si="1"/>
        <v>N</v>
      </c>
      <c r="Y26" s="13">
        <v>2</v>
      </c>
      <c r="Z26" s="45"/>
      <c r="AA26" s="46"/>
      <c r="AB26" s="45"/>
    </row>
    <row r="27" spans="1:28" s="10" customFormat="1" ht="12">
      <c r="A27" s="85">
        <v>1000</v>
      </c>
      <c r="B27" s="47" t="s">
        <v>97</v>
      </c>
      <c r="C27" s="62">
        <v>28</v>
      </c>
      <c r="D27" s="63">
        <v>40</v>
      </c>
      <c r="E27" s="62" t="s">
        <v>32</v>
      </c>
      <c r="F27" s="62">
        <v>90</v>
      </c>
      <c r="G27" s="63">
        <v>0</v>
      </c>
      <c r="H27" s="44" t="s">
        <v>33</v>
      </c>
      <c r="I27" s="38">
        <f t="shared" si="6"/>
        <v>19.999999999972292</v>
      </c>
      <c r="J27" s="64">
        <v>9</v>
      </c>
      <c r="K27" s="40">
        <f t="shared" si="7"/>
        <v>2.2222222222191435</v>
      </c>
      <c r="L27" s="41">
        <f t="shared" si="10"/>
        <v>2.8666666666666667</v>
      </c>
      <c r="M27" s="42">
        <f t="shared" si="11"/>
        <v>195.86820243959983</v>
      </c>
      <c r="N27" s="43">
        <f t="shared" si="2"/>
        <v>195.98764688404427</v>
      </c>
      <c r="O27" s="67">
        <f t="shared" si="8"/>
        <v>85.70352521706303</v>
      </c>
      <c r="P27" s="67">
        <f t="shared" si="3"/>
        <v>3.570980217377626</v>
      </c>
      <c r="Q27" s="81">
        <f t="shared" si="9"/>
        <v>3.570980217377626</v>
      </c>
      <c r="R27" s="9"/>
      <c r="T27" s="69">
        <f t="shared" si="4"/>
        <v>1</v>
      </c>
      <c r="U27" s="13">
        <f t="shared" si="5"/>
        <v>1</v>
      </c>
      <c r="V27" s="10">
        <f t="shared" si="0"/>
        <v>28</v>
      </c>
      <c r="W27" s="13" t="str">
        <f t="shared" si="1"/>
        <v>N</v>
      </c>
      <c r="Y27" s="13">
        <v>2</v>
      </c>
      <c r="Z27" s="45"/>
      <c r="AA27" s="46"/>
      <c r="AB27" s="45"/>
    </row>
    <row r="28" spans="1:28" s="10" customFormat="1" ht="12">
      <c r="A28" s="85">
        <v>1000</v>
      </c>
      <c r="B28" s="47" t="s">
        <v>98</v>
      </c>
      <c r="C28" s="62">
        <v>28</v>
      </c>
      <c r="D28" s="63">
        <v>20</v>
      </c>
      <c r="E28" s="62" t="s">
        <v>32</v>
      </c>
      <c r="F28" s="62">
        <v>90</v>
      </c>
      <c r="G28" s="63">
        <v>0</v>
      </c>
      <c r="H28" s="44" t="s">
        <v>33</v>
      </c>
      <c r="I28" s="38">
        <f t="shared" si="6"/>
        <v>19.999999999972292</v>
      </c>
      <c r="J28" s="64">
        <v>9</v>
      </c>
      <c r="K28" s="40">
        <f t="shared" si="7"/>
        <v>2.2222222222191435</v>
      </c>
      <c r="L28" s="41">
        <f t="shared" si="10"/>
        <v>2.8666666666666667</v>
      </c>
      <c r="M28" s="42">
        <f t="shared" si="11"/>
        <v>196.08023947663673</v>
      </c>
      <c r="N28" s="43">
        <f t="shared" si="2"/>
        <v>196.19968392108117</v>
      </c>
      <c r="O28" s="67">
        <f t="shared" si="8"/>
        <v>90.79241410594884</v>
      </c>
      <c r="P28" s="67">
        <f t="shared" si="3"/>
        <v>3.783017254414535</v>
      </c>
      <c r="Q28" s="81">
        <f t="shared" si="9"/>
        <v>3.783017254414535</v>
      </c>
      <c r="R28" s="9"/>
      <c r="T28" s="69">
        <f t="shared" si="4"/>
        <v>1</v>
      </c>
      <c r="U28" s="13">
        <f t="shared" si="5"/>
        <v>1</v>
      </c>
      <c r="V28" s="10">
        <f t="shared" si="0"/>
        <v>28</v>
      </c>
      <c r="W28" s="13" t="str">
        <f t="shared" si="1"/>
        <v>N</v>
      </c>
      <c r="Y28" s="13">
        <v>2</v>
      </c>
      <c r="Z28" s="45"/>
      <c r="AA28" s="46"/>
      <c r="AB28" s="45"/>
    </row>
    <row r="29" spans="1:28" s="10" customFormat="1" ht="12">
      <c r="A29" s="85">
        <v>1000</v>
      </c>
      <c r="B29" s="47" t="s">
        <v>99</v>
      </c>
      <c r="C29" s="62">
        <v>28</v>
      </c>
      <c r="D29" s="63">
        <v>0</v>
      </c>
      <c r="E29" s="62" t="s">
        <v>32</v>
      </c>
      <c r="F29" s="62">
        <v>90</v>
      </c>
      <c r="G29" s="63">
        <v>0</v>
      </c>
      <c r="H29" s="44" t="s">
        <v>33</v>
      </c>
      <c r="I29" s="38">
        <f t="shared" si="6"/>
        <v>20.00000000003794</v>
      </c>
      <c r="J29" s="64">
        <v>9</v>
      </c>
      <c r="K29" s="40">
        <f t="shared" si="7"/>
        <v>2.2222222222264376</v>
      </c>
      <c r="L29" s="41">
        <f t="shared" si="10"/>
        <v>2.8666666666666667</v>
      </c>
      <c r="M29" s="42">
        <f t="shared" si="11"/>
        <v>196.29227651367395</v>
      </c>
      <c r="N29" s="43">
        <f t="shared" si="2"/>
        <v>196.4117209581184</v>
      </c>
      <c r="O29" s="67">
        <f t="shared" si="8"/>
        <v>95.88130299484193</v>
      </c>
      <c r="P29" s="67">
        <f t="shared" si="3"/>
        <v>3.9950542914517473</v>
      </c>
      <c r="Q29" s="81">
        <f t="shared" si="9"/>
        <v>3.9950542914517473</v>
      </c>
      <c r="R29" s="9"/>
      <c r="T29" s="69">
        <f t="shared" si="4"/>
        <v>1</v>
      </c>
      <c r="U29" s="13">
        <f t="shared" si="5"/>
        <v>1</v>
      </c>
      <c r="V29" s="10">
        <f t="shared" si="0"/>
        <v>28</v>
      </c>
      <c r="W29" s="13" t="str">
        <f t="shared" si="1"/>
        <v>N</v>
      </c>
      <c r="Y29" s="13">
        <v>2</v>
      </c>
      <c r="Z29" s="45"/>
      <c r="AA29" s="46"/>
      <c r="AB29" s="45"/>
    </row>
    <row r="30" spans="1:28" s="10" customFormat="1" ht="12.75" customHeight="1">
      <c r="A30" s="85">
        <v>1000</v>
      </c>
      <c r="B30" s="47" t="s">
        <v>100</v>
      </c>
      <c r="C30" s="62">
        <v>27</v>
      </c>
      <c r="D30" s="63">
        <v>40</v>
      </c>
      <c r="E30" s="62" t="s">
        <v>32</v>
      </c>
      <c r="F30" s="62">
        <v>90</v>
      </c>
      <c r="G30" s="63">
        <v>0</v>
      </c>
      <c r="H30" s="44" t="s">
        <v>33</v>
      </c>
      <c r="I30" s="38">
        <f t="shared" si="6"/>
        <v>19.999999999972292</v>
      </c>
      <c r="J30" s="64">
        <v>9</v>
      </c>
      <c r="K30" s="40">
        <f t="shared" si="7"/>
        <v>2.2222222222191435</v>
      </c>
      <c r="L30" s="41">
        <f t="shared" si="10"/>
        <v>2.8666666666666667</v>
      </c>
      <c r="M30" s="42">
        <f t="shared" si="11"/>
        <v>196.50431355071086</v>
      </c>
      <c r="N30" s="43">
        <f t="shared" si="2"/>
        <v>196.6237579951553</v>
      </c>
      <c r="O30" s="67">
        <f t="shared" si="8"/>
        <v>100.97019188372774</v>
      </c>
      <c r="P30" s="67">
        <f t="shared" si="3"/>
        <v>4.207091328488656</v>
      </c>
      <c r="Q30" s="81">
        <f t="shared" si="9"/>
        <v>4.207091328488656</v>
      </c>
      <c r="R30" s="9"/>
      <c r="T30" s="69">
        <f t="shared" si="4"/>
        <v>1</v>
      </c>
      <c r="U30" s="13">
        <f t="shared" si="5"/>
        <v>1</v>
      </c>
      <c r="V30" s="10">
        <f t="shared" si="0"/>
        <v>27</v>
      </c>
      <c r="W30" s="13" t="str">
        <f t="shared" si="1"/>
        <v>N</v>
      </c>
      <c r="Y30" s="13">
        <v>2</v>
      </c>
      <c r="Z30" s="45"/>
      <c r="AA30" s="46"/>
      <c r="AB30" s="45"/>
    </row>
    <row r="31" spans="1:28" s="10" customFormat="1" ht="12.75" customHeight="1">
      <c r="A31" s="85">
        <v>1000</v>
      </c>
      <c r="B31" s="47" t="s">
        <v>101</v>
      </c>
      <c r="C31" s="62">
        <v>27</v>
      </c>
      <c r="D31" s="63">
        <v>20</v>
      </c>
      <c r="E31" s="62" t="s">
        <v>32</v>
      </c>
      <c r="F31" s="62">
        <v>90</v>
      </c>
      <c r="G31" s="63">
        <v>0</v>
      </c>
      <c r="H31" s="44" t="s">
        <v>33</v>
      </c>
      <c r="I31" s="38">
        <f t="shared" si="6"/>
        <v>19.999999999972292</v>
      </c>
      <c r="J31" s="64">
        <v>9</v>
      </c>
      <c r="K31" s="40">
        <f t="shared" si="7"/>
        <v>2.2222222222191435</v>
      </c>
      <c r="L31" s="41">
        <f t="shared" si="10"/>
        <v>2.8666666666666667</v>
      </c>
      <c r="M31" s="42">
        <f t="shared" si="11"/>
        <v>196.71635058774777</v>
      </c>
      <c r="N31" s="43">
        <f t="shared" si="2"/>
        <v>196.8357950321922</v>
      </c>
      <c r="O31" s="67">
        <f t="shared" si="8"/>
        <v>106.05908077261354</v>
      </c>
      <c r="P31" s="67">
        <f t="shared" si="3"/>
        <v>4.419128365525564</v>
      </c>
      <c r="Q31" s="81">
        <f t="shared" si="9"/>
        <v>4.419128365525564</v>
      </c>
      <c r="R31" s="9"/>
      <c r="T31" s="69">
        <f t="shared" si="4"/>
        <v>1</v>
      </c>
      <c r="U31" s="13">
        <f t="shared" si="5"/>
        <v>1</v>
      </c>
      <c r="V31" s="10">
        <f t="shared" si="0"/>
        <v>27</v>
      </c>
      <c r="W31" s="13" t="str">
        <f t="shared" si="1"/>
        <v>N</v>
      </c>
      <c r="Y31" s="13">
        <v>2</v>
      </c>
      <c r="Z31" s="45"/>
      <c r="AA31" s="46"/>
      <c r="AB31" s="45"/>
    </row>
    <row r="32" spans="1:28" s="10" customFormat="1" ht="12.75" customHeight="1">
      <c r="A32" s="85">
        <v>1000</v>
      </c>
      <c r="B32" s="47" t="s">
        <v>102</v>
      </c>
      <c r="C32" s="62">
        <v>27</v>
      </c>
      <c r="D32" s="63">
        <v>0</v>
      </c>
      <c r="E32" s="62" t="s">
        <v>32</v>
      </c>
      <c r="F32" s="62">
        <v>90</v>
      </c>
      <c r="G32" s="63">
        <v>0</v>
      </c>
      <c r="H32" s="44" t="s">
        <v>33</v>
      </c>
      <c r="I32" s="38">
        <f t="shared" si="6"/>
        <v>19.999999999972292</v>
      </c>
      <c r="J32" s="64">
        <v>9</v>
      </c>
      <c r="K32" s="40">
        <f t="shared" si="7"/>
        <v>2.2222222222191435</v>
      </c>
      <c r="L32" s="41">
        <f t="shared" si="10"/>
        <v>2.8666666666666667</v>
      </c>
      <c r="M32" s="42">
        <f t="shared" si="11"/>
        <v>196.92838762478468</v>
      </c>
      <c r="N32" s="43">
        <f t="shared" si="2"/>
        <v>197.04783206922912</v>
      </c>
      <c r="O32" s="67">
        <f t="shared" si="8"/>
        <v>111.14796966149935</v>
      </c>
      <c r="P32" s="67">
        <f t="shared" si="3"/>
        <v>4.631165402562472</v>
      </c>
      <c r="Q32" s="81">
        <f t="shared" si="9"/>
        <v>4.631165402562472</v>
      </c>
      <c r="R32" s="9"/>
      <c r="T32" s="69">
        <f t="shared" si="4"/>
        <v>1</v>
      </c>
      <c r="U32" s="13">
        <f t="shared" si="5"/>
        <v>1</v>
      </c>
      <c r="V32" s="10">
        <f t="shared" si="0"/>
        <v>27</v>
      </c>
      <c r="W32" s="13" t="str">
        <f t="shared" si="1"/>
        <v>N</v>
      </c>
      <c r="Y32" s="13">
        <v>2</v>
      </c>
      <c r="Z32" s="45"/>
      <c r="AA32" s="46"/>
      <c r="AB32" s="45"/>
    </row>
    <row r="33" spans="1:28" s="10" customFormat="1" ht="12.75" customHeight="1">
      <c r="A33" s="85">
        <v>1000</v>
      </c>
      <c r="B33" s="47" t="s">
        <v>103</v>
      </c>
      <c r="C33" s="62">
        <v>26</v>
      </c>
      <c r="D33" s="63">
        <v>40</v>
      </c>
      <c r="E33" s="62" t="s">
        <v>32</v>
      </c>
      <c r="F33" s="62">
        <v>90</v>
      </c>
      <c r="G33" s="63">
        <v>0</v>
      </c>
      <c r="H33" s="44" t="s">
        <v>33</v>
      </c>
      <c r="I33" s="38">
        <f t="shared" si="6"/>
        <v>19.999999999972292</v>
      </c>
      <c r="J33" s="64">
        <v>9</v>
      </c>
      <c r="K33" s="40">
        <f t="shared" si="7"/>
        <v>2.2222222222191435</v>
      </c>
      <c r="L33" s="41">
        <f t="shared" si="10"/>
        <v>2.8666666666666667</v>
      </c>
      <c r="M33" s="42">
        <f t="shared" si="11"/>
        <v>197.14042466182158</v>
      </c>
      <c r="N33" s="43">
        <f t="shared" si="2"/>
        <v>197.25986910626602</v>
      </c>
      <c r="O33" s="67">
        <f t="shared" si="8"/>
        <v>116.23685855038515</v>
      </c>
      <c r="P33" s="67">
        <f t="shared" si="3"/>
        <v>4.843202439599382</v>
      </c>
      <c r="Q33" s="81">
        <f t="shared" si="9"/>
        <v>4.843202439599382</v>
      </c>
      <c r="R33" s="9"/>
      <c r="T33" s="69">
        <f t="shared" si="4"/>
        <v>1</v>
      </c>
      <c r="U33" s="13">
        <f t="shared" si="5"/>
        <v>1</v>
      </c>
      <c r="V33" s="10">
        <f t="shared" si="0"/>
        <v>26</v>
      </c>
      <c r="W33" s="13" t="str">
        <f t="shared" si="1"/>
        <v>N</v>
      </c>
      <c r="Y33" s="13">
        <v>2</v>
      </c>
      <c r="Z33" s="45"/>
      <c r="AA33" s="46"/>
      <c r="AB33" s="45"/>
    </row>
    <row r="34" spans="1:28" s="10" customFormat="1" ht="12.75" customHeight="1">
      <c r="A34" s="85">
        <v>1000</v>
      </c>
      <c r="B34" s="47" t="s">
        <v>104</v>
      </c>
      <c r="C34" s="62">
        <v>26</v>
      </c>
      <c r="D34" s="63">
        <v>20</v>
      </c>
      <c r="E34" s="62" t="s">
        <v>32</v>
      </c>
      <c r="F34" s="62">
        <v>90</v>
      </c>
      <c r="G34" s="63">
        <v>0</v>
      </c>
      <c r="H34" s="44" t="s">
        <v>33</v>
      </c>
      <c r="I34" s="38">
        <f t="shared" si="6"/>
        <v>19.999999999972292</v>
      </c>
      <c r="J34" s="64">
        <v>9</v>
      </c>
      <c r="K34" s="40">
        <f t="shared" si="7"/>
        <v>2.2222222222191435</v>
      </c>
      <c r="L34" s="41">
        <f t="shared" si="10"/>
        <v>2.8666666666666667</v>
      </c>
      <c r="M34" s="42">
        <f t="shared" si="11"/>
        <v>197.3524616988585</v>
      </c>
      <c r="N34" s="43">
        <f t="shared" si="2"/>
        <v>197.47190614330293</v>
      </c>
      <c r="O34" s="67">
        <f t="shared" si="8"/>
        <v>121.32574743927096</v>
      </c>
      <c r="P34" s="67">
        <f t="shared" si="3"/>
        <v>5.05523947663629</v>
      </c>
      <c r="Q34" s="81">
        <f t="shared" si="9"/>
        <v>5.05523947663629</v>
      </c>
      <c r="R34" s="9"/>
      <c r="T34" s="69">
        <f t="shared" si="4"/>
        <v>1</v>
      </c>
      <c r="U34" s="13">
        <f t="shared" si="5"/>
        <v>1</v>
      </c>
      <c r="V34" s="10">
        <f t="shared" si="0"/>
        <v>26</v>
      </c>
      <c r="W34" s="13" t="str">
        <f t="shared" si="1"/>
        <v>N</v>
      </c>
      <c r="Y34" s="13">
        <v>2</v>
      </c>
      <c r="Z34" s="45"/>
      <c r="AA34" s="46"/>
      <c r="AB34" s="45"/>
    </row>
    <row r="35" spans="1:28" s="10" customFormat="1" ht="12.75" customHeight="1">
      <c r="A35" s="85">
        <v>1000</v>
      </c>
      <c r="B35" s="47" t="s">
        <v>105</v>
      </c>
      <c r="C35" s="62">
        <v>26</v>
      </c>
      <c r="D35" s="63">
        <v>0</v>
      </c>
      <c r="E35" s="62" t="s">
        <v>32</v>
      </c>
      <c r="F35" s="62">
        <v>90</v>
      </c>
      <c r="G35" s="63">
        <v>0</v>
      </c>
      <c r="H35" s="44" t="s">
        <v>33</v>
      </c>
      <c r="I35" s="38">
        <f t="shared" si="6"/>
        <v>19.999999999972292</v>
      </c>
      <c r="J35" s="64">
        <v>9</v>
      </c>
      <c r="K35" s="40">
        <f t="shared" si="7"/>
        <v>2.2222222222191435</v>
      </c>
      <c r="L35" s="41">
        <f t="shared" si="10"/>
        <v>2.8666666666666667</v>
      </c>
      <c r="M35" s="42">
        <f t="shared" si="11"/>
        <v>197.5644987358954</v>
      </c>
      <c r="N35" s="43">
        <f t="shared" si="2"/>
        <v>197.68394318033984</v>
      </c>
      <c r="O35" s="67">
        <f t="shared" si="8"/>
        <v>126.41463632815676</v>
      </c>
      <c r="P35" s="67">
        <f t="shared" si="3"/>
        <v>5.267276513673198</v>
      </c>
      <c r="Q35" s="81">
        <f t="shared" si="9"/>
        <v>5.267276513673198</v>
      </c>
      <c r="R35" s="9"/>
      <c r="T35" s="69">
        <f t="shared" si="4"/>
        <v>1</v>
      </c>
      <c r="U35" s="13">
        <f t="shared" si="5"/>
        <v>1</v>
      </c>
      <c r="V35" s="10">
        <f t="shared" si="0"/>
        <v>26</v>
      </c>
      <c r="W35" s="13" t="str">
        <f t="shared" si="1"/>
        <v>N</v>
      </c>
      <c r="Y35" s="13">
        <v>2</v>
      </c>
      <c r="Z35" s="45"/>
      <c r="AA35" s="46"/>
      <c r="AB35" s="45"/>
    </row>
    <row r="36" spans="1:28" s="10" customFormat="1" ht="12.75" customHeight="1">
      <c r="A36" s="85">
        <v>1000</v>
      </c>
      <c r="B36" s="47" t="s">
        <v>37</v>
      </c>
      <c r="C36" s="62">
        <v>30</v>
      </c>
      <c r="D36" s="63">
        <v>0</v>
      </c>
      <c r="E36" s="62" t="s">
        <v>32</v>
      </c>
      <c r="F36" s="62">
        <v>86</v>
      </c>
      <c r="G36" s="63">
        <v>0</v>
      </c>
      <c r="H36" s="44" t="s">
        <v>33</v>
      </c>
      <c r="I36" s="38">
        <f t="shared" si="6"/>
        <v>320.1046961600562</v>
      </c>
      <c r="J36" s="64">
        <v>12</v>
      </c>
      <c r="K36" s="40">
        <f t="shared" si="7"/>
        <v>26.67539134667135</v>
      </c>
      <c r="L36" s="41">
        <v>0</v>
      </c>
      <c r="M36" s="42">
        <f t="shared" si="11"/>
        <v>198.7954178197845</v>
      </c>
      <c r="N36" s="43">
        <f t="shared" si="2"/>
        <v>198.7954178197845</v>
      </c>
      <c r="O36" s="67">
        <f t="shared" si="8"/>
        <v>153.09002767482812</v>
      </c>
      <c r="P36" s="67">
        <f t="shared" si="3"/>
        <v>6.378751153117839</v>
      </c>
      <c r="Q36" s="81">
        <f t="shared" si="9"/>
        <v>6.378751153117839</v>
      </c>
      <c r="R36" s="9"/>
      <c r="T36" s="69">
        <f t="shared" si="4"/>
        <v>1</v>
      </c>
      <c r="U36" s="13">
        <f t="shared" si="5"/>
        <v>1</v>
      </c>
      <c r="V36" s="10">
        <f t="shared" si="0"/>
        <v>30</v>
      </c>
      <c r="W36" s="13" t="str">
        <f t="shared" si="1"/>
        <v>N</v>
      </c>
      <c r="Y36" s="13">
        <v>2</v>
      </c>
      <c r="Z36" s="45"/>
      <c r="AA36" s="46"/>
      <c r="AB36" s="45"/>
    </row>
    <row r="37" spans="1:28" s="10" customFormat="1" ht="12.75" customHeight="1">
      <c r="A37" s="85">
        <v>1000</v>
      </c>
      <c r="B37" s="47" t="s">
        <v>38</v>
      </c>
      <c r="C37" s="62">
        <v>28</v>
      </c>
      <c r="D37" s="63">
        <v>0</v>
      </c>
      <c r="E37" s="62" t="s">
        <v>32</v>
      </c>
      <c r="F37" s="62">
        <v>83</v>
      </c>
      <c r="G37" s="63">
        <v>0</v>
      </c>
      <c r="H37" s="44" t="s">
        <v>33</v>
      </c>
      <c r="I37" s="38">
        <f t="shared" si="6"/>
        <v>197.93565633427454</v>
      </c>
      <c r="J37" s="64">
        <v>12</v>
      </c>
      <c r="K37" s="40">
        <f t="shared" si="7"/>
        <v>16.49463802785621</v>
      </c>
      <c r="L37" s="41">
        <f aca="true" t="shared" si="12" ref="L37:L46">A37*2/50/60+2.2</f>
        <v>2.8666666666666667</v>
      </c>
      <c r="M37" s="42">
        <f t="shared" si="11"/>
        <v>199.4826944042785</v>
      </c>
      <c r="N37" s="43">
        <f t="shared" si="2"/>
        <v>199.60213884872294</v>
      </c>
      <c r="O37" s="67">
        <f t="shared" si="8"/>
        <v>172.451332369351</v>
      </c>
      <c r="P37" s="67">
        <f t="shared" si="3"/>
        <v>7.185472182056292</v>
      </c>
      <c r="Q37" s="81">
        <f t="shared" si="9"/>
        <v>7.185472182056292</v>
      </c>
      <c r="R37" s="9"/>
      <c r="T37" s="69">
        <f t="shared" si="4"/>
        <v>1</v>
      </c>
      <c r="U37" s="13">
        <f t="shared" si="5"/>
        <v>1</v>
      </c>
      <c r="V37" s="10">
        <f t="shared" si="0"/>
        <v>28</v>
      </c>
      <c r="W37" s="13" t="str">
        <f t="shared" si="1"/>
        <v>N</v>
      </c>
      <c r="Y37" s="13">
        <v>2</v>
      </c>
      <c r="Z37" s="45"/>
      <c r="AA37" s="46"/>
      <c r="AB37" s="45"/>
    </row>
    <row r="38" spans="1:28" s="10" customFormat="1" ht="12.75" customHeight="1">
      <c r="A38" s="85">
        <v>1000</v>
      </c>
      <c r="B38" s="47" t="s">
        <v>39</v>
      </c>
      <c r="C38" s="62">
        <v>27</v>
      </c>
      <c r="D38" s="63">
        <v>46.66666666666693</v>
      </c>
      <c r="E38" s="62" t="s">
        <v>32</v>
      </c>
      <c r="F38" s="62">
        <v>83</v>
      </c>
      <c r="G38" s="63">
        <v>20</v>
      </c>
      <c r="H38" s="44" t="s">
        <v>33</v>
      </c>
      <c r="I38" s="38">
        <f aca="true" t="shared" si="13" ref="I38:I46">180/PI()*60*ACOS((SIN(PI()/180*T37*(C37+D37/60))*SIN(PI()/180*T38*(C38+D38/60)))+(COS(PI()/180*T37*(C37+D37/60))*COS(PI()/180*T38*(C38+D38/60))*COS(PI()/180*(U38*(F38+G38/60)-U37*(F37+G37/60)))))</f>
        <v>22.14176343456002</v>
      </c>
      <c r="J38" s="64">
        <v>9</v>
      </c>
      <c r="K38" s="40">
        <f aca="true" t="shared" si="14" ref="K38:K46">I38/J38</f>
        <v>2.4601959371733355</v>
      </c>
      <c r="L38" s="41">
        <f t="shared" si="12"/>
        <v>2.8666666666666667</v>
      </c>
      <c r="M38" s="42">
        <f aca="true" t="shared" si="15" ref="M38:M46">N37+K38/24</f>
        <v>199.70464701277183</v>
      </c>
      <c r="N38" s="43">
        <f aca="true" t="shared" si="16" ref="N38:N46">M38+L38/24</f>
        <v>199.82409145721627</v>
      </c>
      <c r="O38" s="67">
        <f aca="true" t="shared" si="17" ref="O38:O46">O37+K38+L38</f>
        <v>177.778194973191</v>
      </c>
      <c r="P38" s="67">
        <f aca="true" t="shared" si="18" ref="P38:P46">O38/24</f>
        <v>7.4074247905496255</v>
      </c>
      <c r="Q38" s="81">
        <f aca="true" t="shared" si="19" ref="Q38:Q46">P38-$P$14</f>
        <v>7.4074247905496255</v>
      </c>
      <c r="R38" s="9"/>
      <c r="T38" s="69">
        <f aca="true" t="shared" si="20" ref="T38:T46">IF(E38="N",1,-1)</f>
        <v>1</v>
      </c>
      <c r="U38" s="13">
        <f aca="true" t="shared" si="21" ref="U38:U46">IF(H38="W",1,-1)</f>
        <v>1</v>
      </c>
      <c r="V38" s="10">
        <f aca="true" t="shared" si="22" ref="V38:V46">C38</f>
        <v>27</v>
      </c>
      <c r="W38" s="13" t="str">
        <f aca="true" t="shared" si="23" ref="W38:W46">E38</f>
        <v>N</v>
      </c>
      <c r="Y38" s="13">
        <v>2</v>
      </c>
      <c r="Z38" s="45"/>
      <c r="AA38" s="46"/>
      <c r="AB38" s="45"/>
    </row>
    <row r="39" spans="1:28" s="10" customFormat="1" ht="12.75" customHeight="1">
      <c r="A39" s="85">
        <v>1000</v>
      </c>
      <c r="B39" s="47" t="s">
        <v>40</v>
      </c>
      <c r="C39" s="62">
        <v>27</v>
      </c>
      <c r="D39" s="63">
        <v>33.333333333333215</v>
      </c>
      <c r="E39" s="62" t="s">
        <v>32</v>
      </c>
      <c r="F39" s="62">
        <v>83</v>
      </c>
      <c r="G39" s="63">
        <v>40</v>
      </c>
      <c r="H39" s="44" t="s">
        <v>33</v>
      </c>
      <c r="I39" s="38">
        <f t="shared" si="13"/>
        <v>22.170635849146205</v>
      </c>
      <c r="J39" s="64">
        <v>9</v>
      </c>
      <c r="K39" s="40">
        <f t="shared" si="14"/>
        <v>2.463403983238467</v>
      </c>
      <c r="L39" s="41">
        <f t="shared" si="12"/>
        <v>2.8666666666666667</v>
      </c>
      <c r="M39" s="42">
        <f t="shared" si="15"/>
        <v>199.9267332898512</v>
      </c>
      <c r="N39" s="43">
        <f t="shared" si="16"/>
        <v>200.04617773429564</v>
      </c>
      <c r="O39" s="67">
        <f t="shared" si="17"/>
        <v>183.10826562309614</v>
      </c>
      <c r="P39" s="67">
        <f t="shared" si="18"/>
        <v>7.629511067629006</v>
      </c>
      <c r="Q39" s="81">
        <f t="shared" si="19"/>
        <v>7.629511067629006</v>
      </c>
      <c r="R39" s="84"/>
      <c r="T39" s="69">
        <f t="shared" si="20"/>
        <v>1</v>
      </c>
      <c r="U39" s="13">
        <f t="shared" si="21"/>
        <v>1</v>
      </c>
      <c r="V39" s="10">
        <f t="shared" si="22"/>
        <v>27</v>
      </c>
      <c r="W39" s="13" t="str">
        <f t="shared" si="23"/>
        <v>N</v>
      </c>
      <c r="Y39" s="13">
        <v>2</v>
      </c>
      <c r="Z39" s="45"/>
      <c r="AA39" s="46"/>
      <c r="AB39" s="45"/>
    </row>
    <row r="40" spans="1:28" s="10" customFormat="1" ht="12.75" customHeight="1">
      <c r="A40" s="85">
        <v>1000</v>
      </c>
      <c r="B40" s="47" t="s">
        <v>41</v>
      </c>
      <c r="C40" s="62">
        <v>27</v>
      </c>
      <c r="D40" s="63">
        <v>20</v>
      </c>
      <c r="E40" s="62" t="s">
        <v>32</v>
      </c>
      <c r="F40" s="62">
        <v>84</v>
      </c>
      <c r="G40" s="63">
        <v>0</v>
      </c>
      <c r="H40" s="44" t="s">
        <v>33</v>
      </c>
      <c r="I40" s="38">
        <f t="shared" si="13"/>
        <v>22.199316539953184</v>
      </c>
      <c r="J40" s="64">
        <v>9</v>
      </c>
      <c r="K40" s="40">
        <f t="shared" si="14"/>
        <v>2.466590726661465</v>
      </c>
      <c r="L40" s="41">
        <f t="shared" si="12"/>
        <v>2.8666666666666667</v>
      </c>
      <c r="M40" s="42">
        <f t="shared" si="15"/>
        <v>200.14895234790654</v>
      </c>
      <c r="N40" s="43">
        <f t="shared" si="16"/>
        <v>200.26839679235098</v>
      </c>
      <c r="O40" s="67">
        <f t="shared" si="17"/>
        <v>188.44152301642427</v>
      </c>
      <c r="P40" s="67">
        <f t="shared" si="18"/>
        <v>7.851730125684345</v>
      </c>
      <c r="Q40" s="81">
        <f t="shared" si="19"/>
        <v>7.851730125684345</v>
      </c>
      <c r="R40" s="9"/>
      <c r="T40" s="69">
        <f t="shared" si="20"/>
        <v>1</v>
      </c>
      <c r="U40" s="13">
        <f t="shared" si="21"/>
        <v>1</v>
      </c>
      <c r="V40" s="10">
        <f t="shared" si="22"/>
        <v>27</v>
      </c>
      <c r="W40" s="13" t="str">
        <f t="shared" si="23"/>
        <v>N</v>
      </c>
      <c r="Y40" s="13">
        <v>2</v>
      </c>
      <c r="Z40" s="45"/>
      <c r="AA40" s="46"/>
      <c r="AB40" s="45"/>
    </row>
    <row r="41" spans="1:28" s="10" customFormat="1" ht="12.75" customHeight="1">
      <c r="A41" s="85">
        <v>1000</v>
      </c>
      <c r="B41" s="47" t="s">
        <v>42</v>
      </c>
      <c r="C41" s="62">
        <v>27</v>
      </c>
      <c r="D41" s="63">
        <v>6.666666666666856</v>
      </c>
      <c r="E41" s="62" t="s">
        <v>32</v>
      </c>
      <c r="F41" s="62">
        <v>84</v>
      </c>
      <c r="G41" s="63">
        <v>20</v>
      </c>
      <c r="H41" s="44" t="s">
        <v>33</v>
      </c>
      <c r="I41" s="38">
        <f t="shared" si="13"/>
        <v>22.227804526600174</v>
      </c>
      <c r="J41" s="64">
        <v>9</v>
      </c>
      <c r="K41" s="40">
        <f t="shared" si="14"/>
        <v>2.4697560585111304</v>
      </c>
      <c r="L41" s="41">
        <f t="shared" si="12"/>
        <v>2.8666666666666667</v>
      </c>
      <c r="M41" s="42">
        <f t="shared" si="15"/>
        <v>200.37130329478896</v>
      </c>
      <c r="N41" s="43">
        <f t="shared" si="16"/>
        <v>200.4907477392334</v>
      </c>
      <c r="O41" s="67">
        <f t="shared" si="17"/>
        <v>193.77794574160208</v>
      </c>
      <c r="P41" s="67">
        <f t="shared" si="18"/>
        <v>8.074081072566754</v>
      </c>
      <c r="Q41" s="81">
        <f t="shared" si="19"/>
        <v>8.074081072566754</v>
      </c>
      <c r="R41" s="9"/>
      <c r="T41" s="69">
        <f t="shared" si="20"/>
        <v>1</v>
      </c>
      <c r="U41" s="13">
        <f t="shared" si="21"/>
        <v>1</v>
      </c>
      <c r="V41" s="10">
        <f t="shared" si="22"/>
        <v>27</v>
      </c>
      <c r="W41" s="13" t="str">
        <f t="shared" si="23"/>
        <v>N</v>
      </c>
      <c r="Y41" s="13">
        <v>2</v>
      </c>
      <c r="Z41" s="45"/>
      <c r="AA41" s="46"/>
      <c r="AB41" s="45"/>
    </row>
    <row r="42" spans="1:28" s="10" customFormat="1" ht="12.75" customHeight="1">
      <c r="A42" s="85">
        <v>1000</v>
      </c>
      <c r="B42" s="47" t="s">
        <v>43</v>
      </c>
      <c r="C42" s="62">
        <v>26</v>
      </c>
      <c r="D42" s="63">
        <v>53.333333333333144</v>
      </c>
      <c r="E42" s="62" t="s">
        <v>32</v>
      </c>
      <c r="F42" s="62">
        <v>84</v>
      </c>
      <c r="G42" s="63">
        <v>40</v>
      </c>
      <c r="H42" s="44" t="s">
        <v>33</v>
      </c>
      <c r="I42" s="38">
        <f t="shared" si="13"/>
        <v>22.256098838404522</v>
      </c>
      <c r="J42" s="64">
        <v>9</v>
      </c>
      <c r="K42" s="40">
        <f t="shared" si="14"/>
        <v>2.4728998709338357</v>
      </c>
      <c r="L42" s="41">
        <f t="shared" si="12"/>
        <v>2.8666666666666667</v>
      </c>
      <c r="M42" s="42">
        <f t="shared" si="15"/>
        <v>200.59378523385564</v>
      </c>
      <c r="N42" s="43">
        <f t="shared" si="16"/>
        <v>200.71322967830008</v>
      </c>
      <c r="O42" s="67">
        <f t="shared" si="17"/>
        <v>199.1175122792026</v>
      </c>
      <c r="P42" s="67">
        <f t="shared" si="18"/>
        <v>8.296563011633442</v>
      </c>
      <c r="Q42" s="81">
        <f t="shared" si="19"/>
        <v>8.296563011633442</v>
      </c>
      <c r="R42" s="9"/>
      <c r="T42" s="69">
        <f t="shared" si="20"/>
        <v>1</v>
      </c>
      <c r="U42" s="13">
        <f t="shared" si="21"/>
        <v>1</v>
      </c>
      <c r="V42" s="10">
        <f t="shared" si="22"/>
        <v>26</v>
      </c>
      <c r="W42" s="13" t="str">
        <f t="shared" si="23"/>
        <v>N</v>
      </c>
      <c r="Y42" s="13">
        <v>2</v>
      </c>
      <c r="Z42" s="45"/>
      <c r="AA42" s="46"/>
      <c r="AB42" s="45"/>
    </row>
    <row r="43" spans="1:28" s="10" customFormat="1" ht="12.75" customHeight="1">
      <c r="A43" s="85">
        <v>1000</v>
      </c>
      <c r="B43" s="47" t="s">
        <v>44</v>
      </c>
      <c r="C43" s="62">
        <v>26</v>
      </c>
      <c r="D43" s="63">
        <v>40</v>
      </c>
      <c r="E43" s="62" t="s">
        <v>32</v>
      </c>
      <c r="F43" s="62">
        <v>85</v>
      </c>
      <c r="G43" s="63">
        <v>0</v>
      </c>
      <c r="H43" s="44" t="s">
        <v>33</v>
      </c>
      <c r="I43" s="38">
        <f t="shared" si="13"/>
        <v>22.284198513647414</v>
      </c>
      <c r="J43" s="64">
        <v>9</v>
      </c>
      <c r="K43" s="40">
        <f t="shared" si="14"/>
        <v>2.476022057071935</v>
      </c>
      <c r="L43" s="41">
        <f t="shared" si="12"/>
        <v>2.8666666666666667</v>
      </c>
      <c r="M43" s="42">
        <f t="shared" si="15"/>
        <v>200.8163972640114</v>
      </c>
      <c r="N43" s="43">
        <f t="shared" si="16"/>
        <v>200.93584170845585</v>
      </c>
      <c r="O43" s="67">
        <f t="shared" si="17"/>
        <v>204.4602010029412</v>
      </c>
      <c r="P43" s="67">
        <f t="shared" si="18"/>
        <v>8.519175041789216</v>
      </c>
      <c r="Q43" s="81">
        <f t="shared" si="19"/>
        <v>8.519175041789216</v>
      </c>
      <c r="R43" s="9"/>
      <c r="T43" s="69">
        <f t="shared" si="20"/>
        <v>1</v>
      </c>
      <c r="U43" s="13">
        <f t="shared" si="21"/>
        <v>1</v>
      </c>
      <c r="V43" s="10">
        <f t="shared" si="22"/>
        <v>26</v>
      </c>
      <c r="W43" s="13" t="str">
        <f t="shared" si="23"/>
        <v>N</v>
      </c>
      <c r="Y43" s="13">
        <v>2</v>
      </c>
      <c r="Z43" s="45"/>
      <c r="AA43" s="46"/>
      <c r="AB43" s="45"/>
    </row>
    <row r="44" spans="1:28" s="10" customFormat="1" ht="12.75" customHeight="1">
      <c r="A44" s="85">
        <v>1000</v>
      </c>
      <c r="B44" s="47" t="s">
        <v>45</v>
      </c>
      <c r="C44" s="62">
        <v>26</v>
      </c>
      <c r="D44" s="63">
        <v>26.666666666666785</v>
      </c>
      <c r="E44" s="62" t="s">
        <v>32</v>
      </c>
      <c r="F44" s="62">
        <v>85</v>
      </c>
      <c r="G44" s="63">
        <v>20</v>
      </c>
      <c r="H44" s="44" t="s">
        <v>33</v>
      </c>
      <c r="I44" s="38">
        <f t="shared" si="13"/>
        <v>22.312102600257028</v>
      </c>
      <c r="J44" s="64">
        <v>9</v>
      </c>
      <c r="K44" s="40">
        <f t="shared" si="14"/>
        <v>2.4791225111396695</v>
      </c>
      <c r="L44" s="41">
        <f t="shared" si="12"/>
        <v>2.8666666666666667</v>
      </c>
      <c r="M44" s="42">
        <f t="shared" si="15"/>
        <v>201.03913847975335</v>
      </c>
      <c r="N44" s="43">
        <f t="shared" si="16"/>
        <v>201.1585829241978</v>
      </c>
      <c r="O44" s="67">
        <f t="shared" si="17"/>
        <v>209.80599018074756</v>
      </c>
      <c r="P44" s="67">
        <f t="shared" si="18"/>
        <v>8.741916257531148</v>
      </c>
      <c r="Q44" s="81">
        <f t="shared" si="19"/>
        <v>8.741916257531148</v>
      </c>
      <c r="R44" s="9"/>
      <c r="T44" s="69">
        <f t="shared" si="20"/>
        <v>1</v>
      </c>
      <c r="U44" s="13">
        <f t="shared" si="21"/>
        <v>1</v>
      </c>
      <c r="V44" s="10">
        <f t="shared" si="22"/>
        <v>26</v>
      </c>
      <c r="W44" s="13" t="str">
        <f t="shared" si="23"/>
        <v>N</v>
      </c>
      <c r="Y44" s="13">
        <v>2</v>
      </c>
      <c r="Z44" s="45"/>
      <c r="AA44" s="46"/>
      <c r="AB44" s="45"/>
    </row>
    <row r="45" spans="1:28" s="10" customFormat="1" ht="12.75" customHeight="1">
      <c r="A45" s="85">
        <v>1000</v>
      </c>
      <c r="B45" s="47" t="s">
        <v>46</v>
      </c>
      <c r="C45" s="62">
        <v>26</v>
      </c>
      <c r="D45" s="63">
        <v>13.333333333333073</v>
      </c>
      <c r="E45" s="62" t="s">
        <v>32</v>
      </c>
      <c r="F45" s="62">
        <v>85</v>
      </c>
      <c r="G45" s="63">
        <v>40</v>
      </c>
      <c r="H45" s="44" t="s">
        <v>33</v>
      </c>
      <c r="I45" s="38">
        <f t="shared" si="13"/>
        <v>22.33981015525437</v>
      </c>
      <c r="J45" s="64">
        <v>9</v>
      </c>
      <c r="K45" s="40">
        <f t="shared" si="14"/>
        <v>2.482201128361597</v>
      </c>
      <c r="L45" s="41">
        <f t="shared" si="12"/>
        <v>2.8666666666666667</v>
      </c>
      <c r="M45" s="42">
        <f t="shared" si="15"/>
        <v>201.26200797121285</v>
      </c>
      <c r="N45" s="43">
        <f t="shared" si="16"/>
        <v>201.3814524156573</v>
      </c>
      <c r="O45" s="67">
        <f t="shared" si="17"/>
        <v>215.15485797577583</v>
      </c>
      <c r="P45" s="67">
        <f t="shared" si="18"/>
        <v>8.964785748990659</v>
      </c>
      <c r="Q45" s="81">
        <f t="shared" si="19"/>
        <v>8.964785748990659</v>
      </c>
      <c r="R45" s="9"/>
      <c r="T45" s="69">
        <f t="shared" si="20"/>
        <v>1</v>
      </c>
      <c r="U45" s="13">
        <f t="shared" si="21"/>
        <v>1</v>
      </c>
      <c r="V45" s="10">
        <f t="shared" si="22"/>
        <v>26</v>
      </c>
      <c r="W45" s="13" t="str">
        <f t="shared" si="23"/>
        <v>N</v>
      </c>
      <c r="Y45" s="13">
        <v>2</v>
      </c>
      <c r="Z45" s="45"/>
      <c r="AA45" s="46"/>
      <c r="AB45" s="45"/>
    </row>
    <row r="46" spans="1:28" s="10" customFormat="1" ht="12.75" customHeight="1">
      <c r="A46" s="85">
        <v>1000</v>
      </c>
      <c r="B46" s="47" t="s">
        <v>47</v>
      </c>
      <c r="C46" s="62">
        <v>26</v>
      </c>
      <c r="D46" s="63">
        <v>0</v>
      </c>
      <c r="E46" s="62" t="s">
        <v>32</v>
      </c>
      <c r="F46" s="62">
        <v>86</v>
      </c>
      <c r="G46" s="63">
        <v>0</v>
      </c>
      <c r="H46" s="44" t="s">
        <v>33</v>
      </c>
      <c r="I46" s="38">
        <f t="shared" si="13"/>
        <v>22.36732024467312</v>
      </c>
      <c r="J46" s="64">
        <v>9</v>
      </c>
      <c r="K46" s="40">
        <f t="shared" si="14"/>
        <v>2.48525780496368</v>
      </c>
      <c r="L46" s="41">
        <f t="shared" si="12"/>
        <v>2.8666666666666667</v>
      </c>
      <c r="M46" s="42">
        <f t="shared" si="15"/>
        <v>201.48500482419743</v>
      </c>
      <c r="N46" s="43">
        <f t="shared" si="16"/>
        <v>201.60444926864187</v>
      </c>
      <c r="O46" s="67">
        <f t="shared" si="17"/>
        <v>220.50678244740618</v>
      </c>
      <c r="P46" s="67">
        <f t="shared" si="18"/>
        <v>9.187782601975258</v>
      </c>
      <c r="Q46" s="81">
        <f t="shared" si="19"/>
        <v>9.187782601975258</v>
      </c>
      <c r="R46" s="9"/>
      <c r="T46" s="69">
        <f t="shared" si="20"/>
        <v>1</v>
      </c>
      <c r="U46" s="13">
        <f t="shared" si="21"/>
        <v>1</v>
      </c>
      <c r="V46" s="10">
        <f t="shared" si="22"/>
        <v>26</v>
      </c>
      <c r="W46" s="13" t="str">
        <f t="shared" si="23"/>
        <v>N</v>
      </c>
      <c r="Y46" s="13">
        <v>2</v>
      </c>
      <c r="Z46" s="45"/>
      <c r="AA46" s="46"/>
      <c r="AB46" s="45"/>
    </row>
    <row r="47" spans="1:28" s="10" customFormat="1" ht="12.75" customHeight="1">
      <c r="A47" s="85">
        <v>1000</v>
      </c>
      <c r="B47" s="47" t="s">
        <v>37</v>
      </c>
      <c r="C47" s="62">
        <v>24</v>
      </c>
      <c r="D47" s="63">
        <v>0</v>
      </c>
      <c r="E47" s="62" t="s">
        <v>32</v>
      </c>
      <c r="F47" s="62">
        <v>83</v>
      </c>
      <c r="G47" s="63">
        <v>0</v>
      </c>
      <c r="H47" s="44" t="s">
        <v>33</v>
      </c>
      <c r="I47" s="38">
        <f t="shared" si="6"/>
        <v>202.5033519933942</v>
      </c>
      <c r="J47" s="64">
        <v>12</v>
      </c>
      <c r="K47" s="40">
        <f t="shared" si="7"/>
        <v>16.87527933278285</v>
      </c>
      <c r="L47" s="41">
        <v>0</v>
      </c>
      <c r="M47" s="42">
        <f t="shared" si="11"/>
        <v>202.30758590750781</v>
      </c>
      <c r="N47" s="43">
        <f aca="true" t="shared" si="24" ref="N47:N71">M47+L47/24</f>
        <v>202.30758590750781</v>
      </c>
      <c r="O47" s="67">
        <f t="shared" si="8"/>
        <v>237.38206178018902</v>
      </c>
      <c r="P47" s="67">
        <f t="shared" si="3"/>
        <v>9.890919240841209</v>
      </c>
      <c r="Q47" s="81">
        <f t="shared" si="9"/>
        <v>9.890919240841209</v>
      </c>
      <c r="R47" s="9"/>
      <c r="T47" s="69">
        <f t="shared" si="4"/>
        <v>1</v>
      </c>
      <c r="U47" s="13">
        <f t="shared" si="5"/>
        <v>1</v>
      </c>
      <c r="V47" s="10">
        <f t="shared" si="0"/>
        <v>24</v>
      </c>
      <c r="W47" s="13" t="str">
        <f t="shared" si="1"/>
        <v>N</v>
      </c>
      <c r="Y47" s="13">
        <v>2</v>
      </c>
      <c r="Z47" s="45"/>
      <c r="AA47" s="46"/>
      <c r="AB47" s="45"/>
    </row>
    <row r="48" spans="1:28" s="10" customFormat="1" ht="12.75" customHeight="1">
      <c r="A48" s="85">
        <v>1000</v>
      </c>
      <c r="B48" s="47" t="s">
        <v>48</v>
      </c>
      <c r="C48" s="62">
        <v>27</v>
      </c>
      <c r="D48" s="63">
        <v>0</v>
      </c>
      <c r="E48" s="62" t="s">
        <v>32</v>
      </c>
      <c r="F48" s="62">
        <v>79</v>
      </c>
      <c r="G48" s="63">
        <v>56</v>
      </c>
      <c r="H48" s="44" t="s">
        <v>33</v>
      </c>
      <c r="I48" s="38">
        <f t="shared" si="6"/>
        <v>244.88632276969</v>
      </c>
      <c r="J48" s="64">
        <v>12</v>
      </c>
      <c r="K48" s="40">
        <f t="shared" si="7"/>
        <v>20.407193564140833</v>
      </c>
      <c r="L48" s="41">
        <f aca="true" t="shared" si="25" ref="L48:L57">A48*2/50/60+2.2</f>
        <v>2.8666666666666667</v>
      </c>
      <c r="M48" s="42">
        <f t="shared" si="11"/>
        <v>203.15788563934703</v>
      </c>
      <c r="N48" s="43">
        <f t="shared" si="24"/>
        <v>203.27733008379147</v>
      </c>
      <c r="O48" s="67">
        <f t="shared" si="8"/>
        <v>260.6559220109965</v>
      </c>
      <c r="P48" s="67">
        <f t="shared" si="3"/>
        <v>10.860663417124854</v>
      </c>
      <c r="Q48" s="81">
        <f t="shared" si="9"/>
        <v>10.860663417124854</v>
      </c>
      <c r="R48" s="9"/>
      <c r="T48" s="69">
        <f t="shared" si="4"/>
        <v>1</v>
      </c>
      <c r="U48" s="13">
        <f t="shared" si="5"/>
        <v>1</v>
      </c>
      <c r="V48" s="10">
        <f t="shared" si="0"/>
        <v>27</v>
      </c>
      <c r="W48" s="13" t="str">
        <f t="shared" si="1"/>
        <v>N</v>
      </c>
      <c r="Y48" s="13">
        <v>2</v>
      </c>
      <c r="Z48" s="45"/>
      <c r="AA48" s="46"/>
      <c r="AB48" s="45"/>
    </row>
    <row r="49" spans="1:28" s="10" customFormat="1" ht="12.75" customHeight="1">
      <c r="A49" s="85">
        <v>1000</v>
      </c>
      <c r="B49" s="47" t="s">
        <v>49</v>
      </c>
      <c r="C49" s="62">
        <v>27</v>
      </c>
      <c r="D49" s="63">
        <v>0</v>
      </c>
      <c r="E49" s="62" t="s">
        <v>32</v>
      </c>
      <c r="F49" s="62">
        <v>79</v>
      </c>
      <c r="G49" s="63">
        <v>52</v>
      </c>
      <c r="H49" s="44" t="s">
        <v>33</v>
      </c>
      <c r="I49" s="38">
        <f t="shared" si="6"/>
        <v>3.564026054933648</v>
      </c>
      <c r="J49" s="64">
        <v>9</v>
      </c>
      <c r="K49" s="40">
        <f t="shared" si="7"/>
        <v>0.39600289499262753</v>
      </c>
      <c r="L49" s="41">
        <f t="shared" si="25"/>
        <v>2.8666666666666667</v>
      </c>
      <c r="M49" s="42">
        <f t="shared" si="11"/>
        <v>203.29383020441617</v>
      </c>
      <c r="N49" s="43">
        <f t="shared" si="24"/>
        <v>203.4132746488606</v>
      </c>
      <c r="O49" s="67">
        <f t="shared" si="8"/>
        <v>263.9185915726558</v>
      </c>
      <c r="P49" s="67">
        <f t="shared" si="3"/>
        <v>10.996607982193993</v>
      </c>
      <c r="Q49" s="81">
        <f t="shared" si="9"/>
        <v>10.996607982193993</v>
      </c>
      <c r="R49" s="9"/>
      <c r="T49" s="69">
        <f t="shared" si="4"/>
        <v>1</v>
      </c>
      <c r="U49" s="13">
        <f t="shared" si="5"/>
        <v>1</v>
      </c>
      <c r="V49" s="10">
        <f t="shared" si="0"/>
        <v>27</v>
      </c>
      <c r="W49" s="13" t="str">
        <f t="shared" si="1"/>
        <v>N</v>
      </c>
      <c r="Y49" s="13">
        <v>2</v>
      </c>
      <c r="Z49" s="45"/>
      <c r="AA49" s="46"/>
      <c r="AB49" s="45"/>
    </row>
    <row r="50" spans="1:28" s="10" customFormat="1" ht="12.75" customHeight="1">
      <c r="A50" s="85">
        <v>1000</v>
      </c>
      <c r="B50" s="47" t="s">
        <v>50</v>
      </c>
      <c r="C50" s="62">
        <v>27</v>
      </c>
      <c r="D50" s="63">
        <v>0</v>
      </c>
      <c r="E50" s="62" t="s">
        <v>32</v>
      </c>
      <c r="F50" s="62">
        <v>79</v>
      </c>
      <c r="G50" s="63">
        <v>47</v>
      </c>
      <c r="H50" s="44" t="s">
        <v>33</v>
      </c>
      <c r="I50" s="38">
        <f t="shared" si="6"/>
        <v>4.45503253967395</v>
      </c>
      <c r="J50" s="64">
        <v>9</v>
      </c>
      <c r="K50" s="40">
        <f t="shared" si="7"/>
        <v>0.4950036155193278</v>
      </c>
      <c r="L50" s="41">
        <f t="shared" si="25"/>
        <v>2.8666666666666667</v>
      </c>
      <c r="M50" s="42">
        <f t="shared" si="11"/>
        <v>203.43389979950726</v>
      </c>
      <c r="N50" s="43">
        <f t="shared" si="24"/>
        <v>203.5533442439517</v>
      </c>
      <c r="O50" s="67">
        <f t="shared" si="8"/>
        <v>267.28026185484185</v>
      </c>
      <c r="P50" s="67">
        <f t="shared" si="3"/>
        <v>11.136677577285077</v>
      </c>
      <c r="Q50" s="81">
        <f t="shared" si="9"/>
        <v>11.136677577285077</v>
      </c>
      <c r="R50" s="9"/>
      <c r="T50" s="69">
        <f t="shared" si="4"/>
        <v>1</v>
      </c>
      <c r="U50" s="13">
        <f t="shared" si="5"/>
        <v>1</v>
      </c>
      <c r="V50" s="10">
        <f t="shared" si="0"/>
        <v>27</v>
      </c>
      <c r="W50" s="13" t="str">
        <f t="shared" si="1"/>
        <v>N</v>
      </c>
      <c r="Y50" s="13">
        <v>2</v>
      </c>
      <c r="Z50" s="45"/>
      <c r="AA50" s="46"/>
      <c r="AB50" s="45"/>
    </row>
    <row r="51" spans="1:28" s="10" customFormat="1" ht="12.75" customHeight="1">
      <c r="A51" s="85">
        <v>1000</v>
      </c>
      <c r="B51" s="47" t="s">
        <v>51</v>
      </c>
      <c r="C51" s="62">
        <v>27</v>
      </c>
      <c r="D51" s="63">
        <v>0</v>
      </c>
      <c r="E51" s="62" t="s">
        <v>32</v>
      </c>
      <c r="F51" s="62">
        <v>79</v>
      </c>
      <c r="G51" s="63">
        <v>41</v>
      </c>
      <c r="H51" s="44" t="s">
        <v>33</v>
      </c>
      <c r="I51" s="38">
        <f t="shared" si="6"/>
        <v>5.3460390049385715</v>
      </c>
      <c r="J51" s="64">
        <v>9</v>
      </c>
      <c r="K51" s="40">
        <f t="shared" si="7"/>
        <v>0.5940043338820635</v>
      </c>
      <c r="L51" s="41">
        <f t="shared" si="25"/>
        <v>2.8666666666666667</v>
      </c>
      <c r="M51" s="42">
        <f t="shared" si="11"/>
        <v>203.57809442453012</v>
      </c>
      <c r="N51" s="43">
        <f t="shared" si="24"/>
        <v>203.69753886897456</v>
      </c>
      <c r="O51" s="67">
        <f t="shared" si="8"/>
        <v>270.7409328553906</v>
      </c>
      <c r="P51" s="67">
        <f t="shared" si="3"/>
        <v>11.280872202307942</v>
      </c>
      <c r="Q51" s="81">
        <f t="shared" si="9"/>
        <v>11.280872202307942</v>
      </c>
      <c r="R51" s="9"/>
      <c r="T51" s="69">
        <f t="shared" si="4"/>
        <v>1</v>
      </c>
      <c r="U51" s="13">
        <f t="shared" si="5"/>
        <v>1</v>
      </c>
      <c r="V51" s="10">
        <f t="shared" si="0"/>
        <v>27</v>
      </c>
      <c r="W51" s="13" t="str">
        <f t="shared" si="1"/>
        <v>N</v>
      </c>
      <c r="Y51" s="13">
        <v>2</v>
      </c>
      <c r="Z51" s="45"/>
      <c r="AA51" s="46"/>
      <c r="AB51" s="45"/>
    </row>
    <row r="52" spans="1:28" s="10" customFormat="1" ht="12.75" customHeight="1">
      <c r="A52" s="85">
        <v>1000</v>
      </c>
      <c r="B52" s="47" t="s">
        <v>52</v>
      </c>
      <c r="C52" s="62">
        <v>27</v>
      </c>
      <c r="D52" s="63">
        <v>0</v>
      </c>
      <c r="E52" s="62" t="s">
        <v>32</v>
      </c>
      <c r="F52" s="62">
        <v>79</v>
      </c>
      <c r="G52" s="63">
        <v>37</v>
      </c>
      <c r="H52" s="44" t="s">
        <v>33</v>
      </c>
      <c r="I52" s="38">
        <f t="shared" si="6"/>
        <v>3.564026054933648</v>
      </c>
      <c r="J52" s="64">
        <v>9</v>
      </c>
      <c r="K52" s="40">
        <f t="shared" si="7"/>
        <v>0.39600289499262753</v>
      </c>
      <c r="L52" s="41">
        <f t="shared" si="25"/>
        <v>2.8666666666666667</v>
      </c>
      <c r="M52" s="42">
        <f t="shared" si="11"/>
        <v>203.71403898959926</v>
      </c>
      <c r="N52" s="43">
        <f t="shared" si="24"/>
        <v>203.8334834340437</v>
      </c>
      <c r="O52" s="67">
        <f t="shared" si="8"/>
        <v>274.00360241704993</v>
      </c>
      <c r="P52" s="67">
        <f t="shared" si="3"/>
        <v>11.41681676737708</v>
      </c>
      <c r="Q52" s="81">
        <f t="shared" si="9"/>
        <v>11.41681676737708</v>
      </c>
      <c r="R52" s="9"/>
      <c r="T52" s="69">
        <f t="shared" si="4"/>
        <v>1</v>
      </c>
      <c r="U52" s="13">
        <f t="shared" si="5"/>
        <v>1</v>
      </c>
      <c r="V52" s="10">
        <f t="shared" si="0"/>
        <v>27</v>
      </c>
      <c r="W52" s="13" t="str">
        <f t="shared" si="1"/>
        <v>N</v>
      </c>
      <c r="Y52" s="13">
        <v>2</v>
      </c>
      <c r="Z52" s="45"/>
      <c r="AA52" s="46"/>
      <c r="AB52" s="45"/>
    </row>
    <row r="53" spans="1:28" s="10" customFormat="1" ht="12.75" customHeight="1">
      <c r="A53" s="85">
        <v>1000</v>
      </c>
      <c r="B53" s="47" t="s">
        <v>53</v>
      </c>
      <c r="C53" s="62">
        <v>27</v>
      </c>
      <c r="D53" s="63">
        <v>0</v>
      </c>
      <c r="E53" s="62" t="s">
        <v>32</v>
      </c>
      <c r="F53" s="62">
        <v>79</v>
      </c>
      <c r="G53" s="63">
        <v>30</v>
      </c>
      <c r="H53" s="44" t="s">
        <v>33</v>
      </c>
      <c r="I53" s="38">
        <f t="shared" si="6"/>
        <v>6.237045446988706</v>
      </c>
      <c r="J53" s="64">
        <v>9</v>
      </c>
      <c r="K53" s="40">
        <f t="shared" si="7"/>
        <v>0.6930050496654118</v>
      </c>
      <c r="L53" s="41">
        <f t="shared" si="25"/>
        <v>2.8666666666666667</v>
      </c>
      <c r="M53" s="42">
        <f t="shared" si="11"/>
        <v>203.86235864444643</v>
      </c>
      <c r="N53" s="43">
        <f t="shared" si="24"/>
        <v>203.98180308889087</v>
      </c>
      <c r="O53" s="67">
        <f t="shared" si="8"/>
        <v>277.56327413338204</v>
      </c>
      <c r="P53" s="67">
        <f t="shared" si="3"/>
        <v>11.565136422224251</v>
      </c>
      <c r="Q53" s="81">
        <f t="shared" si="9"/>
        <v>11.565136422224251</v>
      </c>
      <c r="R53" s="9"/>
      <c r="T53" s="69">
        <f t="shared" si="4"/>
        <v>1</v>
      </c>
      <c r="U53" s="13">
        <f t="shared" si="5"/>
        <v>1</v>
      </c>
      <c r="V53" s="10">
        <f t="shared" si="0"/>
        <v>27</v>
      </c>
      <c r="W53" s="13" t="str">
        <f t="shared" si="1"/>
        <v>N</v>
      </c>
      <c r="Y53" s="13">
        <v>2</v>
      </c>
      <c r="Z53" s="45"/>
      <c r="AA53" s="46"/>
      <c r="AB53" s="45"/>
    </row>
    <row r="54" spans="1:28" s="10" customFormat="1" ht="12.75" customHeight="1">
      <c r="A54" s="85">
        <v>1000</v>
      </c>
      <c r="B54" s="47" t="s">
        <v>54</v>
      </c>
      <c r="C54" s="62">
        <v>27</v>
      </c>
      <c r="D54" s="63">
        <v>0</v>
      </c>
      <c r="E54" s="62" t="s">
        <v>32</v>
      </c>
      <c r="F54" s="62">
        <v>79</v>
      </c>
      <c r="G54" s="63">
        <v>23</v>
      </c>
      <c r="H54" s="44" t="s">
        <v>33</v>
      </c>
      <c r="I54" s="38">
        <f t="shared" si="6"/>
        <v>6.237045446988706</v>
      </c>
      <c r="J54" s="64">
        <v>9</v>
      </c>
      <c r="K54" s="40">
        <f t="shared" si="7"/>
        <v>0.6930050496654118</v>
      </c>
      <c r="L54" s="41">
        <f t="shared" si="25"/>
        <v>2.8666666666666667</v>
      </c>
      <c r="M54" s="42">
        <f t="shared" si="11"/>
        <v>204.0106782992936</v>
      </c>
      <c r="N54" s="43">
        <f t="shared" si="24"/>
        <v>204.13012274373804</v>
      </c>
      <c r="O54" s="67">
        <f t="shared" si="8"/>
        <v>281.12294584971414</v>
      </c>
      <c r="P54" s="67">
        <f t="shared" si="3"/>
        <v>11.713456077071422</v>
      </c>
      <c r="Q54" s="81">
        <f t="shared" si="9"/>
        <v>11.713456077071422</v>
      </c>
      <c r="R54" s="9"/>
      <c r="T54" s="69">
        <f t="shared" si="4"/>
        <v>1</v>
      </c>
      <c r="U54" s="13">
        <f t="shared" si="5"/>
        <v>1</v>
      </c>
      <c r="V54" s="10">
        <f t="shared" si="0"/>
        <v>27</v>
      </c>
      <c r="W54" s="13" t="str">
        <f t="shared" si="1"/>
        <v>N</v>
      </c>
      <c r="Y54" s="13">
        <v>2</v>
      </c>
      <c r="Z54" s="45"/>
      <c r="AA54" s="46"/>
      <c r="AB54" s="45"/>
    </row>
    <row r="55" spans="1:28" s="10" customFormat="1" ht="12.75" customHeight="1">
      <c r="A55" s="85">
        <v>1000</v>
      </c>
      <c r="B55" s="47" t="s">
        <v>55</v>
      </c>
      <c r="C55" s="62">
        <v>27</v>
      </c>
      <c r="D55" s="63">
        <v>0</v>
      </c>
      <c r="E55" s="62" t="s">
        <v>32</v>
      </c>
      <c r="F55" s="62">
        <v>79</v>
      </c>
      <c r="G55" s="63">
        <v>17</v>
      </c>
      <c r="H55" s="44" t="s">
        <v>33</v>
      </c>
      <c r="I55" s="38">
        <f t="shared" si="6"/>
        <v>5.3460390049385715</v>
      </c>
      <c r="J55" s="64">
        <v>9</v>
      </c>
      <c r="K55" s="40">
        <f t="shared" si="7"/>
        <v>0.5940043338820635</v>
      </c>
      <c r="L55" s="41">
        <f t="shared" si="25"/>
        <v>2.8666666666666667</v>
      </c>
      <c r="M55" s="42">
        <f t="shared" si="11"/>
        <v>204.15487292431646</v>
      </c>
      <c r="N55" s="43">
        <f t="shared" si="24"/>
        <v>204.2743173687609</v>
      </c>
      <c r="O55" s="67">
        <f t="shared" si="8"/>
        <v>284.5836168502629</v>
      </c>
      <c r="P55" s="67">
        <f t="shared" si="3"/>
        <v>11.857650702094288</v>
      </c>
      <c r="Q55" s="81">
        <f t="shared" si="9"/>
        <v>11.857650702094288</v>
      </c>
      <c r="R55" s="9"/>
      <c r="T55" s="69">
        <f t="shared" si="4"/>
        <v>1</v>
      </c>
      <c r="U55" s="13">
        <f t="shared" si="5"/>
        <v>1</v>
      </c>
      <c r="V55" s="10">
        <f t="shared" si="0"/>
        <v>27</v>
      </c>
      <c r="W55" s="13" t="str">
        <f t="shared" si="1"/>
        <v>N</v>
      </c>
      <c r="Y55" s="13">
        <v>2</v>
      </c>
      <c r="Z55" s="45"/>
      <c r="AA55" s="46"/>
      <c r="AB55" s="45"/>
    </row>
    <row r="56" spans="1:28" s="10" customFormat="1" ht="12.75" customHeight="1">
      <c r="A56" s="85">
        <v>1000</v>
      </c>
      <c r="B56" s="47" t="s">
        <v>56</v>
      </c>
      <c r="C56" s="62">
        <v>27</v>
      </c>
      <c r="D56" s="63">
        <v>0</v>
      </c>
      <c r="E56" s="62" t="s">
        <v>32</v>
      </c>
      <c r="F56" s="62">
        <v>79</v>
      </c>
      <c r="G56" s="63">
        <v>12</v>
      </c>
      <c r="H56" s="44" t="s">
        <v>33</v>
      </c>
      <c r="I56" s="38">
        <f t="shared" si="6"/>
        <v>4.45503253967395</v>
      </c>
      <c r="J56" s="64">
        <v>9</v>
      </c>
      <c r="K56" s="40">
        <f t="shared" si="7"/>
        <v>0.4950036155193278</v>
      </c>
      <c r="L56" s="41">
        <f t="shared" si="25"/>
        <v>2.8666666666666667</v>
      </c>
      <c r="M56" s="42">
        <f t="shared" si="11"/>
        <v>204.29494251940756</v>
      </c>
      <c r="N56" s="43">
        <f t="shared" si="24"/>
        <v>204.414386963852</v>
      </c>
      <c r="O56" s="67">
        <f t="shared" si="8"/>
        <v>287.9452871324489</v>
      </c>
      <c r="P56" s="67">
        <f t="shared" si="3"/>
        <v>11.997720297185372</v>
      </c>
      <c r="Q56" s="81">
        <f t="shared" si="9"/>
        <v>11.997720297185372</v>
      </c>
      <c r="R56" s="9"/>
      <c r="T56" s="69">
        <f t="shared" si="4"/>
        <v>1</v>
      </c>
      <c r="U56" s="13">
        <f t="shared" si="5"/>
        <v>1</v>
      </c>
      <c r="V56" s="10">
        <f t="shared" si="0"/>
        <v>27</v>
      </c>
      <c r="W56" s="13" t="str">
        <f t="shared" si="1"/>
        <v>N</v>
      </c>
      <c r="Y56" s="13">
        <v>2</v>
      </c>
      <c r="Z56" s="45"/>
      <c r="AA56" s="46"/>
      <c r="AB56" s="45"/>
    </row>
    <row r="57" spans="1:28" s="10" customFormat="1" ht="12.75" customHeight="1">
      <c r="A57" s="85">
        <v>1000</v>
      </c>
      <c r="B57" s="47" t="s">
        <v>57</v>
      </c>
      <c r="C57" s="62">
        <v>27</v>
      </c>
      <c r="D57" s="63">
        <v>0</v>
      </c>
      <c r="E57" s="62" t="s">
        <v>32</v>
      </c>
      <c r="F57" s="62">
        <v>79</v>
      </c>
      <c r="G57" s="63">
        <v>0</v>
      </c>
      <c r="H57" s="44" t="s">
        <v>33</v>
      </c>
      <c r="I57" s="38">
        <f t="shared" si="6"/>
        <v>10.692077171317539</v>
      </c>
      <c r="J57" s="64">
        <v>9</v>
      </c>
      <c r="K57" s="40">
        <f t="shared" si="7"/>
        <v>1.1880085745908378</v>
      </c>
      <c r="L57" s="41">
        <f t="shared" si="25"/>
        <v>2.8666666666666667</v>
      </c>
      <c r="M57" s="42">
        <f t="shared" si="11"/>
        <v>204.4638873211266</v>
      </c>
      <c r="N57" s="43">
        <f t="shared" si="24"/>
        <v>204.58333176557105</v>
      </c>
      <c r="O57" s="67">
        <f t="shared" si="8"/>
        <v>291.9999623737064</v>
      </c>
      <c r="P57" s="67">
        <f t="shared" si="3"/>
        <v>12.166665098904433</v>
      </c>
      <c r="Q57" s="81">
        <f t="shared" si="9"/>
        <v>12.166665098904433</v>
      </c>
      <c r="R57" s="9"/>
      <c r="T57" s="69">
        <f t="shared" si="4"/>
        <v>1</v>
      </c>
      <c r="U57" s="13">
        <f t="shared" si="5"/>
        <v>1</v>
      </c>
      <c r="V57" s="10">
        <f t="shared" si="0"/>
        <v>27</v>
      </c>
      <c r="W57" s="13" t="str">
        <f t="shared" si="1"/>
        <v>N</v>
      </c>
      <c r="Y57" s="13">
        <v>2</v>
      </c>
      <c r="Z57" s="45"/>
      <c r="AA57" s="46"/>
      <c r="AB57" s="45"/>
    </row>
    <row r="58" spans="1:28" s="10" customFormat="1" ht="12.75" customHeight="1">
      <c r="A58" s="85">
        <v>1000</v>
      </c>
      <c r="B58" s="47" t="s">
        <v>37</v>
      </c>
      <c r="C58" s="62">
        <v>27</v>
      </c>
      <c r="D58" s="63">
        <v>0</v>
      </c>
      <c r="E58" s="62" t="s">
        <v>32</v>
      </c>
      <c r="F58" s="62">
        <v>79</v>
      </c>
      <c r="G58" s="63">
        <v>1</v>
      </c>
      <c r="H58" s="44" t="s">
        <v>33</v>
      </c>
      <c r="I58" s="38">
        <f t="shared" si="6"/>
        <v>0.891006522710782</v>
      </c>
      <c r="J58" s="64">
        <v>9</v>
      </c>
      <c r="K58" s="40">
        <f t="shared" si="7"/>
        <v>0.09900072474564243</v>
      </c>
      <c r="L58" s="41">
        <v>0</v>
      </c>
      <c r="M58" s="42">
        <f t="shared" si="11"/>
        <v>204.5874567957688</v>
      </c>
      <c r="N58" s="43">
        <f t="shared" si="24"/>
        <v>204.5874567957688</v>
      </c>
      <c r="O58" s="67">
        <f t="shared" si="8"/>
        <v>292.09896309845203</v>
      </c>
      <c r="P58" s="67">
        <f t="shared" si="3"/>
        <v>12.170790129102167</v>
      </c>
      <c r="Q58" s="81">
        <f t="shared" si="9"/>
        <v>12.170790129102167</v>
      </c>
      <c r="R58" s="9"/>
      <c r="T58" s="69">
        <f t="shared" si="4"/>
        <v>1</v>
      </c>
      <c r="U58" s="13">
        <f t="shared" si="5"/>
        <v>1</v>
      </c>
      <c r="V58" s="10">
        <f t="shared" si="0"/>
        <v>27</v>
      </c>
      <c r="W58" s="13" t="str">
        <f t="shared" si="1"/>
        <v>N</v>
      </c>
      <c r="Y58" s="13">
        <v>2</v>
      </c>
      <c r="Z58" s="45"/>
      <c r="AA58" s="46"/>
      <c r="AB58" s="45"/>
    </row>
    <row r="59" spans="1:28" s="10" customFormat="1" ht="12.75" customHeight="1">
      <c r="A59" s="85">
        <v>1000</v>
      </c>
      <c r="B59" s="95" t="s">
        <v>118</v>
      </c>
      <c r="C59" s="62">
        <v>31</v>
      </c>
      <c r="D59" s="63">
        <v>30.244</v>
      </c>
      <c r="E59" s="62" t="s">
        <v>32</v>
      </c>
      <c r="F59" s="62">
        <v>81</v>
      </c>
      <c r="G59" s="63">
        <v>0.644</v>
      </c>
      <c r="H59" s="96" t="s">
        <v>33</v>
      </c>
      <c r="I59" s="38">
        <f t="shared" si="6"/>
        <v>289.6847823592644</v>
      </c>
      <c r="J59" s="64">
        <v>12</v>
      </c>
      <c r="K59" s="40">
        <f t="shared" si="7"/>
        <v>24.140398529938697</v>
      </c>
      <c r="L59" s="41">
        <f>A59*2/50/60+2.2</f>
        <v>2.8666666666666667</v>
      </c>
      <c r="M59" s="42">
        <f t="shared" si="11"/>
        <v>205.59330673451623</v>
      </c>
      <c r="N59" s="43">
        <f t="shared" si="24"/>
        <v>205.71275117896067</v>
      </c>
      <c r="O59" s="67">
        <f t="shared" si="8"/>
        <v>319.1060282950574</v>
      </c>
      <c r="P59" s="67">
        <f t="shared" si="3"/>
        <v>13.296084512294058</v>
      </c>
      <c r="Q59" s="81">
        <f t="shared" si="9"/>
        <v>13.296084512294058</v>
      </c>
      <c r="R59" s="9"/>
      <c r="T59" s="69">
        <f t="shared" si="4"/>
        <v>1</v>
      </c>
      <c r="U59" s="13">
        <f t="shared" si="5"/>
        <v>1</v>
      </c>
      <c r="V59" s="10">
        <f t="shared" si="0"/>
        <v>31</v>
      </c>
      <c r="W59" s="13" t="str">
        <f t="shared" si="1"/>
        <v>N</v>
      </c>
      <c r="Y59" s="13">
        <v>2</v>
      </c>
      <c r="Z59" s="45"/>
      <c r="AA59" s="46"/>
      <c r="AB59" s="45"/>
    </row>
    <row r="60" spans="1:28" s="10" customFormat="1" ht="12.75" customHeight="1">
      <c r="A60" s="85">
        <v>1000</v>
      </c>
      <c r="B60" s="97" t="s">
        <v>119</v>
      </c>
      <c r="C60" s="98">
        <v>31</v>
      </c>
      <c r="D60" s="99">
        <v>28.0088</v>
      </c>
      <c r="E60" s="98" t="s">
        <v>32</v>
      </c>
      <c r="F60" s="98">
        <v>80</v>
      </c>
      <c r="G60" s="99">
        <v>55.288</v>
      </c>
      <c r="H60" s="24" t="s">
        <v>33</v>
      </c>
      <c r="I60" s="38">
        <f t="shared" si="6"/>
        <v>5.085049814366909</v>
      </c>
      <c r="J60" s="64">
        <v>9</v>
      </c>
      <c r="K60" s="40">
        <f t="shared" si="7"/>
        <v>0.5650055349296565</v>
      </c>
      <c r="L60" s="41">
        <f>A60*2/50/60+2.2</f>
        <v>2.8666666666666667</v>
      </c>
      <c r="M60" s="42">
        <f t="shared" si="11"/>
        <v>205.7362930762494</v>
      </c>
      <c r="N60" s="43">
        <f t="shared" si="24"/>
        <v>205.85573752069385</v>
      </c>
      <c r="O60" s="67">
        <f t="shared" si="8"/>
        <v>322.5377004966537</v>
      </c>
      <c r="P60" s="67">
        <f t="shared" si="3"/>
        <v>13.439070854027237</v>
      </c>
      <c r="Q60" s="81">
        <f t="shared" si="9"/>
        <v>13.439070854027237</v>
      </c>
      <c r="R60" s="9"/>
      <c r="T60" s="69">
        <f t="shared" si="4"/>
        <v>1</v>
      </c>
      <c r="U60" s="13">
        <f t="shared" si="5"/>
        <v>1</v>
      </c>
      <c r="V60" s="10">
        <f t="shared" si="0"/>
        <v>31</v>
      </c>
      <c r="W60" s="13" t="str">
        <f t="shared" si="1"/>
        <v>N</v>
      </c>
      <c r="Y60" s="13">
        <v>2</v>
      </c>
      <c r="Z60" s="45"/>
      <c r="AA60" s="46"/>
      <c r="AB60" s="45"/>
    </row>
    <row r="61" spans="1:28" s="10" customFormat="1" ht="12.75" customHeight="1">
      <c r="A61" s="85">
        <v>1000</v>
      </c>
      <c r="B61" s="100" t="s">
        <v>120</v>
      </c>
      <c r="C61" s="62">
        <v>31</v>
      </c>
      <c r="D61" s="63">
        <v>23.78</v>
      </c>
      <c r="E61" s="62" t="s">
        <v>32</v>
      </c>
      <c r="F61" s="62">
        <v>80</v>
      </c>
      <c r="G61" s="63">
        <v>44.576</v>
      </c>
      <c r="H61" s="44" t="s">
        <v>33</v>
      </c>
      <c r="I61" s="38">
        <f t="shared" si="6"/>
        <v>10.071008891116412</v>
      </c>
      <c r="J61" s="64">
        <v>9</v>
      </c>
      <c r="K61" s="40">
        <f t="shared" si="7"/>
        <v>1.1190009879018235</v>
      </c>
      <c r="L61" s="41">
        <f>A61*2/50/60+2.2</f>
        <v>2.8666666666666667</v>
      </c>
      <c r="M61" s="42">
        <f t="shared" si="11"/>
        <v>205.90236256185642</v>
      </c>
      <c r="N61" s="43">
        <f t="shared" si="24"/>
        <v>206.02180700630086</v>
      </c>
      <c r="O61" s="67">
        <f t="shared" si="8"/>
        <v>326.5233681512222</v>
      </c>
      <c r="P61" s="67">
        <f t="shared" si="3"/>
        <v>13.605140339634259</v>
      </c>
      <c r="Q61" s="81">
        <f t="shared" si="9"/>
        <v>13.605140339634259</v>
      </c>
      <c r="R61" s="9"/>
      <c r="T61" s="69">
        <f t="shared" si="4"/>
        <v>1</v>
      </c>
      <c r="U61" s="13">
        <f t="shared" si="5"/>
        <v>1</v>
      </c>
      <c r="V61" s="10">
        <f t="shared" si="0"/>
        <v>31</v>
      </c>
      <c r="W61" s="13" t="str">
        <f t="shared" si="1"/>
        <v>N</v>
      </c>
      <c r="Y61" s="13">
        <v>2</v>
      </c>
      <c r="Z61" s="45"/>
      <c r="AA61" s="46"/>
      <c r="AB61" s="45"/>
    </row>
    <row r="62" spans="1:28" s="10" customFormat="1" ht="12.75" customHeight="1">
      <c r="A62" s="85"/>
      <c r="B62" s="47" t="s">
        <v>130</v>
      </c>
      <c r="C62" s="62">
        <v>31</v>
      </c>
      <c r="D62" s="63">
        <v>24.13</v>
      </c>
      <c r="E62" s="62" t="s">
        <v>32</v>
      </c>
      <c r="F62" s="62">
        <v>80</v>
      </c>
      <c r="G62" s="63">
        <v>52.23</v>
      </c>
      <c r="H62" s="44" t="s">
        <v>33</v>
      </c>
      <c r="I62" s="38">
        <f>180/PI()*60*ACOS((SIN(PI()/180*T61*(C61+D61/60))*SIN(PI()/180*T62*(C62+D62/60)))+(COS(PI()/180*T61*(C61+D61/60))*COS(PI()/180*T62*(C62+D62/60))*COS(PI()/180*(U62*(F62+G62/60)-U61*(F61+G61/60)))))</f>
        <v>6.542498204826963</v>
      </c>
      <c r="J62" s="64">
        <v>9</v>
      </c>
      <c r="K62" s="40">
        <f>I62/J62</f>
        <v>0.7269442449807736</v>
      </c>
      <c r="L62" s="41">
        <v>4</v>
      </c>
      <c r="M62" s="42">
        <f>N61+K62/24</f>
        <v>206.05209634984172</v>
      </c>
      <c r="N62" s="43">
        <f>M62+L62/24</f>
        <v>206.21876301650838</v>
      </c>
      <c r="O62" s="67">
        <f>O61+K62+L62</f>
        <v>331.25031239620296</v>
      </c>
      <c r="P62" s="67">
        <f t="shared" si="3"/>
        <v>13.80209634984179</v>
      </c>
      <c r="Q62" s="81">
        <f t="shared" si="9"/>
        <v>13.80209634984179</v>
      </c>
      <c r="R62" s="9"/>
      <c r="T62" s="69">
        <f>IF(E62="N",1,-1)</f>
        <v>1</v>
      </c>
      <c r="U62" s="13">
        <f>IF(H62="W",1,-1)</f>
        <v>1</v>
      </c>
      <c r="V62" s="10">
        <f>C62</f>
        <v>31</v>
      </c>
      <c r="W62" s="13" t="str">
        <f>E62</f>
        <v>N</v>
      </c>
      <c r="Y62" s="13">
        <v>2</v>
      </c>
      <c r="Z62" s="45" t="s">
        <v>117</v>
      </c>
      <c r="AA62" s="46"/>
      <c r="AB62" s="45"/>
    </row>
    <row r="63" spans="1:29" s="10" customFormat="1" ht="12.75" customHeight="1">
      <c r="A63" s="85">
        <v>1000</v>
      </c>
      <c r="B63" s="97" t="s">
        <v>121</v>
      </c>
      <c r="C63" s="62">
        <v>31</v>
      </c>
      <c r="D63" s="63">
        <v>19.46</v>
      </c>
      <c r="E63" s="62" t="s">
        <v>32</v>
      </c>
      <c r="F63" s="62">
        <v>80</v>
      </c>
      <c r="G63" s="63">
        <v>33.865</v>
      </c>
      <c r="H63" s="44" t="s">
        <v>33</v>
      </c>
      <c r="I63" s="38">
        <f>180/PI()*60*ACOS((SIN(PI()/180*T62*(C62+D62/60))*SIN(PI()/180*T63*(C63+D63/60)))+(COS(PI()/180*T62*(C62+D62/60))*COS(PI()/180*T63*(C63+D63/60))*COS(PI()/180*(U63*(F63+G63/60)-U62*(F62+G62/60)))))</f>
        <v>16.36218396188956</v>
      </c>
      <c r="J63" s="64">
        <v>9</v>
      </c>
      <c r="K63" s="40">
        <f t="shared" si="7"/>
        <v>1.8180204402099511</v>
      </c>
      <c r="L63" s="41">
        <f aca="true" t="shared" si="26" ref="L63:L71">A63*2/50/60+2.2</f>
        <v>2.8666666666666667</v>
      </c>
      <c r="M63" s="42">
        <f>N62+K63/24</f>
        <v>206.2945138681838</v>
      </c>
      <c r="N63" s="43">
        <f t="shared" si="24"/>
        <v>206.41395831262824</v>
      </c>
      <c r="O63" s="67">
        <f>O62+K63+L63</f>
        <v>335.9349995030796</v>
      </c>
      <c r="P63" s="67">
        <f t="shared" si="3"/>
        <v>13.997291645961651</v>
      </c>
      <c r="Q63" s="81">
        <f t="shared" si="9"/>
        <v>13.997291645961651</v>
      </c>
      <c r="R63" s="9"/>
      <c r="T63" s="69">
        <f t="shared" si="4"/>
        <v>1</v>
      </c>
      <c r="U63" s="13">
        <f t="shared" si="5"/>
        <v>1</v>
      </c>
      <c r="V63" s="10">
        <f t="shared" si="0"/>
        <v>31</v>
      </c>
      <c r="W63" s="13" t="str">
        <f t="shared" si="1"/>
        <v>N</v>
      </c>
      <c r="Y63" s="13">
        <v>2</v>
      </c>
      <c r="Z63"/>
      <c r="AA63"/>
      <c r="AB63"/>
      <c r="AC63"/>
    </row>
    <row r="64" spans="1:28" s="10" customFormat="1" ht="12.75" customHeight="1">
      <c r="A64" s="85">
        <v>1000</v>
      </c>
      <c r="B64" s="97" t="s">
        <v>122</v>
      </c>
      <c r="C64" s="62">
        <v>31</v>
      </c>
      <c r="D64" s="63">
        <v>15.15</v>
      </c>
      <c r="E64" s="62" t="s">
        <v>32</v>
      </c>
      <c r="F64" s="62">
        <v>80</v>
      </c>
      <c r="G64" s="63">
        <v>23.153</v>
      </c>
      <c r="H64" s="44" t="s">
        <v>33</v>
      </c>
      <c r="I64" s="38">
        <f>180/PI()*60*ACOS((SIN(PI()/180*T63*(C63+D63/60))*SIN(PI()/180*T64*(C64+D64/60)))+(COS(PI()/180*T63*(C63+D63/60))*COS(PI()/180*T64*(C64+D64/60))*COS(PI()/180*(U64*(F64+G64/60)-U63*(F63+G63/60)))))</f>
        <v>10.117973289979192</v>
      </c>
      <c r="J64" s="64">
        <v>9</v>
      </c>
      <c r="K64" s="40">
        <f>I64/J64</f>
        <v>1.1242192544421323</v>
      </c>
      <c r="L64" s="41">
        <f t="shared" si="26"/>
        <v>2.8666666666666667</v>
      </c>
      <c r="M64" s="42">
        <f>N63+K64/24</f>
        <v>206.46080078156334</v>
      </c>
      <c r="N64" s="43">
        <f>M64+L64/24</f>
        <v>206.58024522600778</v>
      </c>
      <c r="O64" s="67">
        <f>O63+K64+L64</f>
        <v>339.92588542418844</v>
      </c>
      <c r="P64" s="67">
        <f t="shared" si="3"/>
        <v>14.163578559341184</v>
      </c>
      <c r="Q64" s="81">
        <f t="shared" si="9"/>
        <v>14.163578559341184</v>
      </c>
      <c r="R64" s="9"/>
      <c r="T64" s="69">
        <f>IF(E64="N",1,-1)</f>
        <v>1</v>
      </c>
      <c r="U64" s="13">
        <f>IF(H64="W",1,-1)</f>
        <v>1</v>
      </c>
      <c r="V64" s="10">
        <f>C64</f>
        <v>31</v>
      </c>
      <c r="W64" s="13" t="str">
        <f>E64</f>
        <v>N</v>
      </c>
      <c r="Y64" s="13">
        <v>2</v>
      </c>
      <c r="AA64" s="46"/>
      <c r="AB64" s="45"/>
    </row>
    <row r="65" spans="1:28" s="10" customFormat="1" ht="12.75" customHeight="1">
      <c r="A65" s="85">
        <v>1000</v>
      </c>
      <c r="B65" s="97" t="s">
        <v>123</v>
      </c>
      <c r="C65" s="62">
        <v>31</v>
      </c>
      <c r="D65" s="63">
        <v>11.7</v>
      </c>
      <c r="E65" s="62" t="s">
        <v>32</v>
      </c>
      <c r="F65" s="62">
        <v>80</v>
      </c>
      <c r="G65" s="63">
        <v>14.583</v>
      </c>
      <c r="H65" s="44" t="s">
        <v>33</v>
      </c>
      <c r="I65" s="38">
        <f>180/PI()*60*ACOS((SIN(PI()/180*T64*(C64+D64/60))*SIN(PI()/180*T65*(C65+D65/60)))+(COS(PI()/180*T64*(C64+D64/60))*COS(PI()/180*T65*(C65+D65/60))*COS(PI()/180*(U65*(F65+G65/60)-U64*(F64+G64/60)))))</f>
        <v>8.100081052022723</v>
      </c>
      <c r="J65" s="64">
        <v>9</v>
      </c>
      <c r="K65" s="40">
        <f t="shared" si="7"/>
        <v>0.9000090057803026</v>
      </c>
      <c r="L65" s="41">
        <f t="shared" si="26"/>
        <v>2.8666666666666667</v>
      </c>
      <c r="M65" s="42">
        <f>N64+K65/24</f>
        <v>206.61774560124863</v>
      </c>
      <c r="N65" s="43">
        <f t="shared" si="24"/>
        <v>206.73719004569307</v>
      </c>
      <c r="O65" s="67">
        <f>O64+K65+L65</f>
        <v>343.6925610966354</v>
      </c>
      <c r="P65" s="67">
        <f t="shared" si="3"/>
        <v>14.320523379026476</v>
      </c>
      <c r="Q65" s="81">
        <f t="shared" si="9"/>
        <v>14.320523379026476</v>
      </c>
      <c r="R65" s="9"/>
      <c r="T65" s="69">
        <f t="shared" si="4"/>
        <v>1</v>
      </c>
      <c r="U65" s="13">
        <f t="shared" si="5"/>
        <v>1</v>
      </c>
      <c r="V65" s="10">
        <f t="shared" si="0"/>
        <v>31</v>
      </c>
      <c r="W65" s="13" t="str">
        <f t="shared" si="1"/>
        <v>N</v>
      </c>
      <c r="Y65" s="13">
        <v>2</v>
      </c>
      <c r="Z65" s="45"/>
      <c r="AA65" s="46"/>
      <c r="AB65" s="45"/>
    </row>
    <row r="66" spans="1:28" s="10" customFormat="1" ht="12.75" customHeight="1">
      <c r="A66" s="85">
        <v>1000</v>
      </c>
      <c r="B66" s="97" t="s">
        <v>124</v>
      </c>
      <c r="C66" s="62">
        <v>31</v>
      </c>
      <c r="D66" s="63">
        <v>4.8</v>
      </c>
      <c r="E66" s="62" t="s">
        <v>32</v>
      </c>
      <c r="F66" s="62">
        <v>79</v>
      </c>
      <c r="G66" s="63">
        <v>57.444</v>
      </c>
      <c r="H66" s="44" t="s">
        <v>33</v>
      </c>
      <c r="I66" s="38">
        <f aca="true" t="shared" si="27" ref="I66:I74">180/PI()*60*ACOS((SIN(PI()/180*T65*(C65+D65/60))*SIN(PI()/180*T66*(C66+D66/60)))+(COS(PI()/180*T65*(C65+D65/60))*COS(PI()/180*T66*(C66+D66/60))*COS(PI()/180*(U66*(F66+G66/60)-U65*(F65+G65/60)))))</f>
        <v>16.211468537115394</v>
      </c>
      <c r="J66" s="64">
        <v>9</v>
      </c>
      <c r="K66" s="40">
        <f t="shared" si="7"/>
        <v>1.8012742819017105</v>
      </c>
      <c r="L66" s="41">
        <f t="shared" si="26"/>
        <v>2.8666666666666667</v>
      </c>
      <c r="M66" s="42">
        <f t="shared" si="11"/>
        <v>206.8122431407723</v>
      </c>
      <c r="N66" s="43">
        <f t="shared" si="24"/>
        <v>206.93168758521674</v>
      </c>
      <c r="O66" s="67">
        <f t="shared" si="8"/>
        <v>348.3605020452038</v>
      </c>
      <c r="P66" s="67">
        <f t="shared" si="3"/>
        <v>14.515020918550158</v>
      </c>
      <c r="Q66" s="81">
        <f t="shared" si="9"/>
        <v>14.515020918550158</v>
      </c>
      <c r="R66" s="9"/>
      <c r="T66" s="69">
        <f t="shared" si="4"/>
        <v>1</v>
      </c>
      <c r="U66" s="13">
        <f t="shared" si="5"/>
        <v>1</v>
      </c>
      <c r="V66" s="10">
        <f t="shared" si="0"/>
        <v>31</v>
      </c>
      <c r="W66" s="13" t="str">
        <f t="shared" si="1"/>
        <v>N</v>
      </c>
      <c r="Y66" s="13">
        <v>2</v>
      </c>
      <c r="Z66" s="45"/>
      <c r="AA66" s="46"/>
      <c r="AB66" s="45"/>
    </row>
    <row r="67" spans="1:29" s="10" customFormat="1" ht="12.75" customHeight="1">
      <c r="A67" s="85">
        <v>1000</v>
      </c>
      <c r="B67" s="97" t="s">
        <v>125</v>
      </c>
      <c r="C67" s="62">
        <v>30</v>
      </c>
      <c r="D67" s="63">
        <v>57.9</v>
      </c>
      <c r="E67" s="62" t="s">
        <v>32</v>
      </c>
      <c r="F67" s="62">
        <v>79</v>
      </c>
      <c r="G67" s="63">
        <v>40.305</v>
      </c>
      <c r="H67" s="44" t="s">
        <v>33</v>
      </c>
      <c r="I67" s="38">
        <f t="shared" si="27"/>
        <v>16.227540044669745</v>
      </c>
      <c r="J67" s="64">
        <v>9</v>
      </c>
      <c r="K67" s="40">
        <f t="shared" si="7"/>
        <v>1.803060004963305</v>
      </c>
      <c r="L67" s="41">
        <f t="shared" si="26"/>
        <v>2.8666666666666667</v>
      </c>
      <c r="M67" s="42">
        <f t="shared" si="11"/>
        <v>207.00681508542354</v>
      </c>
      <c r="N67" s="43">
        <f t="shared" si="24"/>
        <v>207.12625952986798</v>
      </c>
      <c r="O67" s="67">
        <f t="shared" si="8"/>
        <v>353.0302287168338</v>
      </c>
      <c r="P67" s="67">
        <f t="shared" si="3"/>
        <v>14.709592863201408</v>
      </c>
      <c r="Q67" s="81">
        <f t="shared" si="9"/>
        <v>14.709592863201408</v>
      </c>
      <c r="R67" s="9"/>
      <c r="T67" s="69">
        <f t="shared" si="4"/>
        <v>1</v>
      </c>
      <c r="U67" s="13">
        <f t="shared" si="5"/>
        <v>1</v>
      </c>
      <c r="V67" s="10">
        <f t="shared" si="0"/>
        <v>30</v>
      </c>
      <c r="W67" s="13" t="str">
        <f t="shared" si="1"/>
        <v>N</v>
      </c>
      <c r="Y67" s="13">
        <v>2</v>
      </c>
      <c r="Z67" s="45"/>
      <c r="AA67" s="46"/>
      <c r="AB67" s="45"/>
      <c r="AC67" s="10" t="s">
        <v>113</v>
      </c>
    </row>
    <row r="68" spans="1:28" s="10" customFormat="1" ht="12.75" customHeight="1">
      <c r="A68" s="85">
        <v>1000</v>
      </c>
      <c r="B68" s="101" t="s">
        <v>126</v>
      </c>
      <c r="C68" s="102">
        <v>30</v>
      </c>
      <c r="D68" s="103">
        <v>52.02</v>
      </c>
      <c r="E68" s="102" t="s">
        <v>32</v>
      </c>
      <c r="F68" s="102">
        <v>79</v>
      </c>
      <c r="G68" s="103">
        <v>25.8</v>
      </c>
      <c r="H68" s="70" t="s">
        <v>33</v>
      </c>
      <c r="I68" s="38">
        <f t="shared" si="27"/>
        <v>13.763398968702822</v>
      </c>
      <c r="J68" s="64">
        <v>9</v>
      </c>
      <c r="K68" s="40">
        <f t="shared" si="7"/>
        <v>1.5292665520780913</v>
      </c>
      <c r="L68" s="41">
        <f t="shared" si="26"/>
        <v>2.8666666666666667</v>
      </c>
      <c r="M68" s="42">
        <f t="shared" si="11"/>
        <v>207.1899789695379</v>
      </c>
      <c r="N68" s="43">
        <f t="shared" si="24"/>
        <v>207.30942341398233</v>
      </c>
      <c r="O68" s="67">
        <f t="shared" si="8"/>
        <v>357.42616193557853</v>
      </c>
      <c r="P68" s="67">
        <f t="shared" si="3"/>
        <v>14.892756747315772</v>
      </c>
      <c r="Q68" s="81">
        <f t="shared" si="9"/>
        <v>14.892756747315772</v>
      </c>
      <c r="R68" s="9"/>
      <c r="T68" s="69">
        <f t="shared" si="4"/>
        <v>1</v>
      </c>
      <c r="U68" s="13">
        <f t="shared" si="5"/>
        <v>1</v>
      </c>
      <c r="V68" s="10">
        <f t="shared" si="0"/>
        <v>30</v>
      </c>
      <c r="W68" s="13" t="str">
        <f t="shared" si="1"/>
        <v>N</v>
      </c>
      <c r="Y68" s="13">
        <v>2</v>
      </c>
      <c r="Z68" s="45"/>
      <c r="AA68" s="46"/>
      <c r="AB68" s="45"/>
    </row>
    <row r="69" spans="1:28" s="10" customFormat="1" ht="12.75" customHeight="1">
      <c r="A69" s="85">
        <v>1000</v>
      </c>
      <c r="B69" s="97" t="s">
        <v>127</v>
      </c>
      <c r="C69" s="96">
        <v>30</v>
      </c>
      <c r="D69" s="104">
        <v>41.52000000000022</v>
      </c>
      <c r="E69" s="96" t="s">
        <v>32</v>
      </c>
      <c r="F69" s="96">
        <v>79</v>
      </c>
      <c r="G69" s="104">
        <v>0</v>
      </c>
      <c r="H69" s="44" t="s">
        <v>33</v>
      </c>
      <c r="I69" s="38">
        <f t="shared" si="27"/>
        <v>24.52703231709491</v>
      </c>
      <c r="J69" s="64">
        <v>9</v>
      </c>
      <c r="K69" s="40">
        <f t="shared" si="7"/>
        <v>2.7252258130105456</v>
      </c>
      <c r="L69" s="41">
        <f t="shared" si="26"/>
        <v>2.8666666666666667</v>
      </c>
      <c r="M69" s="42">
        <f t="shared" si="11"/>
        <v>207.42297448952445</v>
      </c>
      <c r="N69" s="43">
        <f t="shared" si="24"/>
        <v>207.5424189339689</v>
      </c>
      <c r="O69" s="67">
        <f t="shared" si="8"/>
        <v>363.01805441525573</v>
      </c>
      <c r="P69" s="67">
        <f t="shared" si="3"/>
        <v>15.125752267302323</v>
      </c>
      <c r="Q69" s="81">
        <f t="shared" si="9"/>
        <v>15.125752267302323</v>
      </c>
      <c r="R69" s="9"/>
      <c r="T69" s="69">
        <f t="shared" si="4"/>
        <v>1</v>
      </c>
      <c r="U69" s="13">
        <f t="shared" si="5"/>
        <v>1</v>
      </c>
      <c r="V69" s="10">
        <f t="shared" si="0"/>
        <v>30</v>
      </c>
      <c r="W69" s="13" t="str">
        <f t="shared" si="1"/>
        <v>N</v>
      </c>
      <c r="Y69" s="13">
        <v>2</v>
      </c>
      <c r="Z69" s="45"/>
      <c r="AA69" s="46"/>
      <c r="AB69" s="45"/>
    </row>
    <row r="70" spans="1:28" s="10" customFormat="1" ht="12.75" customHeight="1">
      <c r="A70" s="85">
        <v>1000</v>
      </c>
      <c r="B70" s="97" t="s">
        <v>128</v>
      </c>
      <c r="C70" s="62">
        <v>30</v>
      </c>
      <c r="D70" s="63">
        <v>29.44500000000012</v>
      </c>
      <c r="E70" s="62" t="s">
        <v>32</v>
      </c>
      <c r="F70" s="62">
        <v>78</v>
      </c>
      <c r="G70" s="63">
        <v>30</v>
      </c>
      <c r="H70" s="44" t="s">
        <v>33</v>
      </c>
      <c r="I70" s="38">
        <f t="shared" si="27"/>
        <v>28.50808641132742</v>
      </c>
      <c r="J70" s="64">
        <v>9</v>
      </c>
      <c r="K70" s="40">
        <f t="shared" si="7"/>
        <v>3.167565156814158</v>
      </c>
      <c r="L70" s="41">
        <f t="shared" si="26"/>
        <v>2.8666666666666667</v>
      </c>
      <c r="M70" s="42">
        <f t="shared" si="11"/>
        <v>207.67440081550282</v>
      </c>
      <c r="N70" s="43">
        <f t="shared" si="24"/>
        <v>207.79384525994726</v>
      </c>
      <c r="O70" s="67">
        <f t="shared" si="8"/>
        <v>369.05228623873654</v>
      </c>
      <c r="P70" s="67">
        <f t="shared" si="3"/>
        <v>15.37717859328069</v>
      </c>
      <c r="Q70" s="81">
        <f t="shared" si="9"/>
        <v>15.37717859328069</v>
      </c>
      <c r="R70" s="9"/>
      <c r="T70" s="69">
        <f t="shared" si="4"/>
        <v>1</v>
      </c>
      <c r="U70" s="13">
        <f t="shared" si="5"/>
        <v>1</v>
      </c>
      <c r="V70" s="10">
        <f t="shared" si="0"/>
        <v>30</v>
      </c>
      <c r="W70" s="13" t="str">
        <f t="shared" si="1"/>
        <v>N</v>
      </c>
      <c r="Y70" s="13">
        <v>2</v>
      </c>
      <c r="Z70" s="45"/>
      <c r="AA70" s="46"/>
      <c r="AB70" s="45"/>
    </row>
    <row r="71" spans="1:28" s="10" customFormat="1" ht="12">
      <c r="A71" s="85">
        <v>1000</v>
      </c>
      <c r="B71" s="97" t="s">
        <v>129</v>
      </c>
      <c r="C71" s="62">
        <v>30</v>
      </c>
      <c r="D71" s="63">
        <v>17.370000000000232</v>
      </c>
      <c r="E71" s="62" t="s">
        <v>32</v>
      </c>
      <c r="F71" s="62">
        <v>78</v>
      </c>
      <c r="G71" s="63">
        <v>0</v>
      </c>
      <c r="H71" s="44" t="s">
        <v>33</v>
      </c>
      <c r="I71" s="38">
        <f t="shared" si="27"/>
        <v>28.55652948646471</v>
      </c>
      <c r="J71" s="64">
        <v>9</v>
      </c>
      <c r="K71" s="40">
        <f t="shared" si="7"/>
        <v>3.1729477207183012</v>
      </c>
      <c r="L71" s="41">
        <f t="shared" si="26"/>
        <v>2.8666666666666667</v>
      </c>
      <c r="M71" s="42">
        <f t="shared" si="11"/>
        <v>207.9260514149772</v>
      </c>
      <c r="N71" s="43">
        <f t="shared" si="24"/>
        <v>208.04549585942164</v>
      </c>
      <c r="O71" s="67">
        <f t="shared" si="8"/>
        <v>375.0919006261215</v>
      </c>
      <c r="P71" s="67">
        <f t="shared" si="3"/>
        <v>15.628829192755063</v>
      </c>
      <c r="Q71" s="81">
        <f t="shared" si="9"/>
        <v>15.628829192755063</v>
      </c>
      <c r="R71" s="9"/>
      <c r="T71" s="69">
        <f t="shared" si="4"/>
        <v>1</v>
      </c>
      <c r="U71" s="13">
        <f t="shared" si="5"/>
        <v>1</v>
      </c>
      <c r="V71" s="10">
        <f t="shared" si="0"/>
        <v>30</v>
      </c>
      <c r="W71" s="13" t="str">
        <f t="shared" si="1"/>
        <v>N</v>
      </c>
      <c r="Y71" s="13">
        <v>2</v>
      </c>
      <c r="Z71" s="45"/>
      <c r="AA71" s="46"/>
      <c r="AB71" s="45"/>
    </row>
    <row r="72" spans="1:28" s="10" customFormat="1" ht="12">
      <c r="A72" s="85">
        <v>1000</v>
      </c>
      <c r="B72" s="47" t="s">
        <v>131</v>
      </c>
      <c r="C72" s="62">
        <v>30</v>
      </c>
      <c r="D72" s="63">
        <v>17.370000000000232</v>
      </c>
      <c r="E72" s="62" t="s">
        <v>32</v>
      </c>
      <c r="F72" s="62">
        <v>78</v>
      </c>
      <c r="G72" s="63">
        <v>0</v>
      </c>
      <c r="H72" s="44" t="s">
        <v>33</v>
      </c>
      <c r="I72" s="38">
        <f t="shared" si="27"/>
        <v>0</v>
      </c>
      <c r="J72" s="64">
        <v>9</v>
      </c>
      <c r="K72" s="40">
        <f t="shared" si="7"/>
        <v>0</v>
      </c>
      <c r="L72" s="41">
        <v>0</v>
      </c>
      <c r="M72" s="42">
        <f t="shared" si="11"/>
        <v>208.04549585942164</v>
      </c>
      <c r="N72" s="43">
        <f aca="true" t="shared" si="28" ref="N72:N118">M72+L72/24</f>
        <v>208.04549585942164</v>
      </c>
      <c r="O72" s="67">
        <f t="shared" si="8"/>
        <v>375.0919006261215</v>
      </c>
      <c r="P72" s="67">
        <f aca="true" t="shared" si="29" ref="P72:P118">O72/24</f>
        <v>15.628829192755063</v>
      </c>
      <c r="Q72" s="81">
        <f t="shared" si="9"/>
        <v>15.628829192755063</v>
      </c>
      <c r="R72" s="9"/>
      <c r="T72" s="69">
        <f t="shared" si="4"/>
        <v>1</v>
      </c>
      <c r="U72" s="13">
        <f t="shared" si="5"/>
        <v>1</v>
      </c>
      <c r="V72" s="10">
        <f t="shared" si="0"/>
        <v>30</v>
      </c>
      <c r="W72" s="13" t="str">
        <f t="shared" si="1"/>
        <v>N</v>
      </c>
      <c r="Y72" s="13">
        <v>2</v>
      </c>
      <c r="Z72" s="45"/>
      <c r="AA72" s="46"/>
      <c r="AB72" s="45" t="s">
        <v>113</v>
      </c>
    </row>
    <row r="73" spans="1:28" s="10" customFormat="1" ht="12">
      <c r="A73" s="85">
        <v>1000</v>
      </c>
      <c r="B73" s="47" t="s">
        <v>37</v>
      </c>
      <c r="C73" s="62">
        <v>30</v>
      </c>
      <c r="D73" s="63">
        <v>52.02</v>
      </c>
      <c r="E73" s="62" t="s">
        <v>32</v>
      </c>
      <c r="F73" s="62">
        <v>79</v>
      </c>
      <c r="G73" s="63">
        <v>25.8</v>
      </c>
      <c r="H73" s="44" t="s">
        <v>33</v>
      </c>
      <c r="I73" s="38">
        <f t="shared" si="27"/>
        <v>81.59026620884977</v>
      </c>
      <c r="J73" s="64">
        <v>12</v>
      </c>
      <c r="K73" s="40">
        <f aca="true" t="shared" si="30" ref="K73:K118">I73/J73</f>
        <v>6.7991888507374805</v>
      </c>
      <c r="L73" s="41">
        <v>0</v>
      </c>
      <c r="M73" s="42">
        <f>N72+K73/24</f>
        <v>208.32879539486902</v>
      </c>
      <c r="N73" s="43">
        <f t="shared" si="28"/>
        <v>208.32879539486902</v>
      </c>
      <c r="O73" s="67">
        <f>O72+K73+L73</f>
        <v>381.891089476859</v>
      </c>
      <c r="P73" s="67">
        <f t="shared" si="29"/>
        <v>15.91212872820246</v>
      </c>
      <c r="Q73" s="81">
        <f t="shared" si="9"/>
        <v>15.91212872820246</v>
      </c>
      <c r="R73" s="9"/>
      <c r="T73" s="69">
        <f t="shared" si="4"/>
        <v>1</v>
      </c>
      <c r="U73" s="13">
        <f t="shared" si="5"/>
        <v>1</v>
      </c>
      <c r="V73" s="10">
        <f t="shared" si="0"/>
        <v>30</v>
      </c>
      <c r="W73" s="13" t="str">
        <f t="shared" si="1"/>
        <v>N</v>
      </c>
      <c r="Y73" s="13">
        <v>2</v>
      </c>
      <c r="Z73" s="45"/>
      <c r="AA73" s="46"/>
      <c r="AB73" s="45"/>
    </row>
    <row r="74" spans="1:28" s="10" customFormat="1" ht="12">
      <c r="A74" s="85">
        <v>1000</v>
      </c>
      <c r="B74" s="47" t="s">
        <v>132</v>
      </c>
      <c r="C74" s="62">
        <v>36</v>
      </c>
      <c r="D74" s="63">
        <v>0</v>
      </c>
      <c r="E74" s="62" t="s">
        <v>32</v>
      </c>
      <c r="F74" s="62">
        <v>75</v>
      </c>
      <c r="G74" s="63">
        <v>30</v>
      </c>
      <c r="H74" s="44" t="s">
        <v>33</v>
      </c>
      <c r="I74" s="38">
        <f t="shared" si="27"/>
        <v>365.3903591863652</v>
      </c>
      <c r="J74" s="64">
        <v>12</v>
      </c>
      <c r="K74" s="40">
        <f t="shared" si="30"/>
        <v>30.449196598863765</v>
      </c>
      <c r="L74" s="41">
        <f aca="true" t="shared" si="31" ref="L74:L103">A74*2/50/60+2.2</f>
        <v>2.8666666666666667</v>
      </c>
      <c r="M74" s="42">
        <f t="shared" si="11"/>
        <v>209.59751191982167</v>
      </c>
      <c r="N74" s="43">
        <f t="shared" si="28"/>
        <v>209.7169563642661</v>
      </c>
      <c r="O74" s="67">
        <f t="shared" si="8"/>
        <v>415.20695274238943</v>
      </c>
      <c r="P74" s="67">
        <f t="shared" si="29"/>
        <v>17.30028969759956</v>
      </c>
      <c r="Q74" s="81">
        <f t="shared" si="9"/>
        <v>17.30028969759956</v>
      </c>
      <c r="R74" s="9"/>
      <c r="T74" s="69">
        <f t="shared" si="4"/>
        <v>1</v>
      </c>
      <c r="U74" s="13">
        <f t="shared" si="5"/>
        <v>1</v>
      </c>
      <c r="V74" s="10">
        <f t="shared" si="0"/>
        <v>36</v>
      </c>
      <c r="W74" s="13" t="str">
        <f t="shared" si="1"/>
        <v>N</v>
      </c>
      <c r="Y74" s="13">
        <v>2</v>
      </c>
      <c r="Z74" s="45"/>
      <c r="AA74" s="46"/>
      <c r="AB74" s="45"/>
    </row>
    <row r="75" spans="1:28" s="10" customFormat="1" ht="12">
      <c r="A75" s="85">
        <v>1000</v>
      </c>
      <c r="B75" s="47" t="s">
        <v>58</v>
      </c>
      <c r="C75" s="62">
        <v>36</v>
      </c>
      <c r="D75" s="63">
        <v>0</v>
      </c>
      <c r="E75" s="62" t="s">
        <v>32</v>
      </c>
      <c r="F75" s="62">
        <v>75</v>
      </c>
      <c r="G75" s="63">
        <v>15</v>
      </c>
      <c r="H75" s="44" t="s">
        <v>33</v>
      </c>
      <c r="I75" s="38">
        <f t="shared" si="6"/>
        <v>12.13525158970174</v>
      </c>
      <c r="J75" s="64">
        <v>9</v>
      </c>
      <c r="K75" s="40">
        <f t="shared" si="30"/>
        <v>1.3483612877446378</v>
      </c>
      <c r="L75" s="41">
        <f t="shared" si="31"/>
        <v>2.8666666666666667</v>
      </c>
      <c r="M75" s="42">
        <f t="shared" si="11"/>
        <v>209.7731380845888</v>
      </c>
      <c r="N75" s="43">
        <f t="shared" si="28"/>
        <v>209.89258252903323</v>
      </c>
      <c r="O75" s="67">
        <f t="shared" si="8"/>
        <v>419.42198069680074</v>
      </c>
      <c r="P75" s="67">
        <f t="shared" si="29"/>
        <v>17.475915862366698</v>
      </c>
      <c r="Q75" s="81">
        <f t="shared" si="9"/>
        <v>17.475915862366698</v>
      </c>
      <c r="R75" s="9"/>
      <c r="T75" s="69">
        <f t="shared" si="4"/>
        <v>1</v>
      </c>
      <c r="U75" s="13">
        <f t="shared" si="5"/>
        <v>1</v>
      </c>
      <c r="V75" s="10">
        <f t="shared" si="0"/>
        <v>36</v>
      </c>
      <c r="W75" s="13" t="str">
        <f t="shared" si="1"/>
        <v>N</v>
      </c>
      <c r="Y75" s="13">
        <v>2</v>
      </c>
      <c r="Z75" s="45"/>
      <c r="AA75" s="46"/>
      <c r="AB75" s="45"/>
    </row>
    <row r="76" spans="1:28" s="10" customFormat="1" ht="12">
      <c r="A76" s="85">
        <v>1000</v>
      </c>
      <c r="B76" s="47" t="s">
        <v>59</v>
      </c>
      <c r="C76" s="62">
        <v>36</v>
      </c>
      <c r="D76" s="63">
        <v>0</v>
      </c>
      <c r="E76" s="62" t="s">
        <v>32</v>
      </c>
      <c r="F76" s="62">
        <v>75</v>
      </c>
      <c r="G76" s="63">
        <v>0</v>
      </c>
      <c r="H76" s="44" t="s">
        <v>33</v>
      </c>
      <c r="I76" s="38">
        <f t="shared" si="6"/>
        <v>12.13525158970174</v>
      </c>
      <c r="J76" s="64">
        <v>9</v>
      </c>
      <c r="K76" s="40">
        <f t="shared" si="30"/>
        <v>1.3483612877446378</v>
      </c>
      <c r="L76" s="41">
        <f t="shared" si="31"/>
        <v>2.8666666666666667</v>
      </c>
      <c r="M76" s="42">
        <f t="shared" si="11"/>
        <v>209.94876424935592</v>
      </c>
      <c r="N76" s="43">
        <f t="shared" si="28"/>
        <v>210.06820869380036</v>
      </c>
      <c r="O76" s="67">
        <f t="shared" si="8"/>
        <v>423.63700865121206</v>
      </c>
      <c r="P76" s="67">
        <f t="shared" si="29"/>
        <v>17.651542027133836</v>
      </c>
      <c r="Q76" s="81">
        <f t="shared" si="9"/>
        <v>17.651542027133836</v>
      </c>
      <c r="R76" s="9"/>
      <c r="T76" s="69">
        <f t="shared" si="4"/>
        <v>1</v>
      </c>
      <c r="U76" s="13">
        <f t="shared" si="5"/>
        <v>1</v>
      </c>
      <c r="V76" s="10">
        <f t="shared" si="0"/>
        <v>36</v>
      </c>
      <c r="W76" s="13" t="str">
        <f t="shared" si="1"/>
        <v>N</v>
      </c>
      <c r="Y76" s="13">
        <v>2</v>
      </c>
      <c r="Z76" s="45"/>
      <c r="AA76" s="46"/>
      <c r="AB76" s="45"/>
    </row>
    <row r="77" spans="1:25" s="10" customFormat="1" ht="12">
      <c r="A77" s="85">
        <v>1000</v>
      </c>
      <c r="B77" s="47" t="s">
        <v>60</v>
      </c>
      <c r="C77" s="62">
        <v>36</v>
      </c>
      <c r="D77" s="63">
        <v>0</v>
      </c>
      <c r="E77" s="62" t="s">
        <v>32</v>
      </c>
      <c r="F77" s="62">
        <v>74</v>
      </c>
      <c r="G77" s="63">
        <v>40</v>
      </c>
      <c r="H77" s="30" t="s">
        <v>33</v>
      </c>
      <c r="I77" s="38">
        <f t="shared" si="6"/>
        <v>16.180332003852847</v>
      </c>
      <c r="J77" s="64">
        <v>9</v>
      </c>
      <c r="K77" s="40">
        <f t="shared" si="30"/>
        <v>1.7978146670947608</v>
      </c>
      <c r="L77" s="41">
        <f t="shared" si="31"/>
        <v>2.8666666666666667</v>
      </c>
      <c r="M77" s="42">
        <f t="shared" si="11"/>
        <v>210.14311763826265</v>
      </c>
      <c r="N77" s="43">
        <f t="shared" si="28"/>
        <v>210.2625620827071</v>
      </c>
      <c r="O77" s="67">
        <f aca="true" t="shared" si="32" ref="O77:O118">O76+K77+L77</f>
        <v>428.3014899849735</v>
      </c>
      <c r="P77" s="67">
        <f t="shared" si="29"/>
        <v>17.845895416040563</v>
      </c>
      <c r="Q77" s="81">
        <f t="shared" si="9"/>
        <v>17.845895416040563</v>
      </c>
      <c r="R77" s="9"/>
      <c r="T77" s="69">
        <f t="shared" si="4"/>
        <v>1</v>
      </c>
      <c r="U77" s="13">
        <f t="shared" si="5"/>
        <v>1</v>
      </c>
      <c r="V77" s="10">
        <f aca="true" t="shared" si="33" ref="V77:V118">C77</f>
        <v>36</v>
      </c>
      <c r="W77" s="13" t="str">
        <f aca="true" t="shared" si="34" ref="W77:W118">E77</f>
        <v>N</v>
      </c>
      <c r="Y77" s="13">
        <v>2</v>
      </c>
    </row>
    <row r="78" spans="1:25" s="10" customFormat="1" ht="12">
      <c r="A78" s="85">
        <v>1000</v>
      </c>
      <c r="B78" s="47" t="s">
        <v>61</v>
      </c>
      <c r="C78" s="62">
        <v>36</v>
      </c>
      <c r="D78" s="63">
        <v>0</v>
      </c>
      <c r="E78" s="62" t="s">
        <v>32</v>
      </c>
      <c r="F78" s="62">
        <v>74</v>
      </c>
      <c r="G78" s="63">
        <v>20</v>
      </c>
      <c r="H78" s="30" t="s">
        <v>33</v>
      </c>
      <c r="I78" s="38">
        <f t="shared" si="6"/>
        <v>16.180332003852847</v>
      </c>
      <c r="J78" s="64">
        <v>9</v>
      </c>
      <c r="K78" s="40">
        <f t="shared" si="30"/>
        <v>1.7978146670947608</v>
      </c>
      <c r="L78" s="41">
        <f t="shared" si="31"/>
        <v>2.8666666666666667</v>
      </c>
      <c r="M78" s="42">
        <f t="shared" si="11"/>
        <v>210.33747102716939</v>
      </c>
      <c r="N78" s="43">
        <f t="shared" si="28"/>
        <v>210.45691547161383</v>
      </c>
      <c r="O78" s="67">
        <f t="shared" si="32"/>
        <v>432.96597131873494</v>
      </c>
      <c r="P78" s="67">
        <f t="shared" si="29"/>
        <v>18.04024880494729</v>
      </c>
      <c r="Q78" s="81">
        <f t="shared" si="9"/>
        <v>18.04024880494729</v>
      </c>
      <c r="R78" s="9"/>
      <c r="T78" s="69">
        <f aca="true" t="shared" si="35" ref="T78:T118">IF(E78="N",1,-1)</f>
        <v>1</v>
      </c>
      <c r="U78" s="13">
        <f aca="true" t="shared" si="36" ref="U78:U118">IF(H78="W",1,-1)</f>
        <v>1</v>
      </c>
      <c r="V78" s="10">
        <f t="shared" si="33"/>
        <v>36</v>
      </c>
      <c r="W78" s="13" t="str">
        <f t="shared" si="34"/>
        <v>N</v>
      </c>
      <c r="Y78" s="13">
        <v>2</v>
      </c>
    </row>
    <row r="79" spans="1:25" s="10" customFormat="1" ht="12">
      <c r="A79" s="85">
        <v>1000</v>
      </c>
      <c r="B79" s="47" t="s">
        <v>62</v>
      </c>
      <c r="C79" s="62">
        <v>36</v>
      </c>
      <c r="D79" s="63">
        <v>0</v>
      </c>
      <c r="E79" s="62" t="s">
        <v>32</v>
      </c>
      <c r="F79" s="62">
        <v>74</v>
      </c>
      <c r="G79" s="63">
        <v>0</v>
      </c>
      <c r="H79" s="44" t="s">
        <v>33</v>
      </c>
      <c r="I79" s="38">
        <f t="shared" si="6"/>
        <v>16.180332003852847</v>
      </c>
      <c r="J79" s="64">
        <v>9</v>
      </c>
      <c r="K79" s="40">
        <f t="shared" si="30"/>
        <v>1.7978146670947608</v>
      </c>
      <c r="L79" s="41">
        <f t="shared" si="31"/>
        <v>2.8666666666666667</v>
      </c>
      <c r="M79" s="42">
        <f t="shared" si="11"/>
        <v>210.53182441607612</v>
      </c>
      <c r="N79" s="43">
        <f t="shared" si="28"/>
        <v>210.65126886052056</v>
      </c>
      <c r="O79" s="67">
        <f t="shared" si="32"/>
        <v>437.6304526524964</v>
      </c>
      <c r="P79" s="67">
        <f t="shared" si="29"/>
        <v>18.234602193854016</v>
      </c>
      <c r="Q79" s="81">
        <f t="shared" si="9"/>
        <v>18.234602193854016</v>
      </c>
      <c r="R79" s="9"/>
      <c r="T79" s="69">
        <f t="shared" si="35"/>
        <v>1</v>
      </c>
      <c r="U79" s="13">
        <f t="shared" si="36"/>
        <v>1</v>
      </c>
      <c r="V79" s="10">
        <f t="shared" si="33"/>
        <v>36</v>
      </c>
      <c r="W79" s="13" t="str">
        <f t="shared" si="34"/>
        <v>N</v>
      </c>
      <c r="Y79" s="13">
        <v>2</v>
      </c>
    </row>
    <row r="80" spans="1:25" s="10" customFormat="1" ht="12">
      <c r="A80" s="85">
        <v>1000</v>
      </c>
      <c r="B80" s="47" t="s">
        <v>63</v>
      </c>
      <c r="C80" s="62">
        <v>36</v>
      </c>
      <c r="D80" s="63">
        <v>0</v>
      </c>
      <c r="E80" s="62" t="s">
        <v>32</v>
      </c>
      <c r="F80" s="62">
        <v>73</v>
      </c>
      <c r="G80" s="63">
        <v>40</v>
      </c>
      <c r="H80" s="44" t="s">
        <v>33</v>
      </c>
      <c r="I80" s="38">
        <f t="shared" si="6"/>
        <v>16.180332003852847</v>
      </c>
      <c r="J80" s="64">
        <v>9</v>
      </c>
      <c r="K80" s="40">
        <f t="shared" si="30"/>
        <v>1.7978146670947608</v>
      </c>
      <c r="L80" s="41">
        <f t="shared" si="31"/>
        <v>2.8666666666666667</v>
      </c>
      <c r="M80" s="42">
        <f t="shared" si="11"/>
        <v>210.72617780498285</v>
      </c>
      <c r="N80" s="43">
        <f t="shared" si="28"/>
        <v>210.8456222494273</v>
      </c>
      <c r="O80" s="67">
        <f t="shared" si="32"/>
        <v>442.29493398625783</v>
      </c>
      <c r="P80" s="67">
        <f t="shared" si="29"/>
        <v>18.428955582760743</v>
      </c>
      <c r="Q80" s="81">
        <f t="shared" si="9"/>
        <v>18.428955582760743</v>
      </c>
      <c r="R80" s="9"/>
      <c r="T80" s="69">
        <f t="shared" si="35"/>
        <v>1</v>
      </c>
      <c r="U80" s="13">
        <f t="shared" si="36"/>
        <v>1</v>
      </c>
      <c r="V80" s="10">
        <f t="shared" si="33"/>
        <v>36</v>
      </c>
      <c r="W80" s="13" t="str">
        <f t="shared" si="34"/>
        <v>N</v>
      </c>
      <c r="Y80" s="13">
        <v>2</v>
      </c>
    </row>
    <row r="81" spans="1:25" s="10" customFormat="1" ht="12">
      <c r="A81" s="85">
        <v>1000</v>
      </c>
      <c r="B81" s="47" t="s">
        <v>64</v>
      </c>
      <c r="C81" s="62">
        <v>36</v>
      </c>
      <c r="D81" s="63">
        <v>0</v>
      </c>
      <c r="E81" s="62" t="s">
        <v>32</v>
      </c>
      <c r="F81" s="62">
        <v>73</v>
      </c>
      <c r="G81" s="63">
        <v>20</v>
      </c>
      <c r="H81" s="44" t="s">
        <v>33</v>
      </c>
      <c r="I81" s="38">
        <f t="shared" si="6"/>
        <v>16.180332003852847</v>
      </c>
      <c r="J81" s="64">
        <v>9</v>
      </c>
      <c r="K81" s="40">
        <f t="shared" si="30"/>
        <v>1.7978146670947608</v>
      </c>
      <c r="L81" s="41">
        <f t="shared" si="31"/>
        <v>2.8666666666666667</v>
      </c>
      <c r="M81" s="42">
        <f t="shared" si="11"/>
        <v>210.9205311938896</v>
      </c>
      <c r="N81" s="43">
        <f t="shared" si="28"/>
        <v>211.03997563833403</v>
      </c>
      <c r="O81" s="67">
        <f t="shared" si="32"/>
        <v>446.9594153200193</v>
      </c>
      <c r="P81" s="67">
        <f t="shared" si="29"/>
        <v>18.62330897166747</v>
      </c>
      <c r="Q81" s="81">
        <f t="shared" si="9"/>
        <v>18.62330897166747</v>
      </c>
      <c r="R81" s="9"/>
      <c r="T81" s="69">
        <f t="shared" si="35"/>
        <v>1</v>
      </c>
      <c r="U81" s="13">
        <f t="shared" si="36"/>
        <v>1</v>
      </c>
      <c r="V81" s="10">
        <f t="shared" si="33"/>
        <v>36</v>
      </c>
      <c r="W81" s="13" t="str">
        <f t="shared" si="34"/>
        <v>N</v>
      </c>
      <c r="Y81" s="13">
        <v>2</v>
      </c>
    </row>
    <row r="82" spans="1:28" s="10" customFormat="1" ht="12">
      <c r="A82" s="85">
        <v>1000</v>
      </c>
      <c r="B82" s="47" t="s">
        <v>65</v>
      </c>
      <c r="C82" s="62">
        <v>36</v>
      </c>
      <c r="D82" s="63">
        <v>0</v>
      </c>
      <c r="E82" s="62" t="s">
        <v>32</v>
      </c>
      <c r="F82" s="62">
        <v>73</v>
      </c>
      <c r="G82" s="63">
        <v>0</v>
      </c>
      <c r="H82" s="44" t="s">
        <v>33</v>
      </c>
      <c r="I82" s="38">
        <f aca="true" t="shared" si="37" ref="I82:I118">180/PI()*60*ACOS((SIN(PI()/180*T81*(C81+D81/60))*SIN(PI()/180*T82*(C82+D82/60)))+(COS(PI()/180*T81*(C81+D81/60))*COS(PI()/180*T82*(C82+D82/60))*COS(PI()/180*(U82*(F82+G82/60)-U81*(F81+G81/60)))))</f>
        <v>16.180332003852847</v>
      </c>
      <c r="J82" s="64">
        <v>9</v>
      </c>
      <c r="K82" s="40">
        <f t="shared" si="30"/>
        <v>1.7978146670947608</v>
      </c>
      <c r="L82" s="41">
        <f t="shared" si="31"/>
        <v>2.8666666666666667</v>
      </c>
      <c r="M82" s="42">
        <f t="shared" si="11"/>
        <v>211.11488458279632</v>
      </c>
      <c r="N82" s="43">
        <f t="shared" si="28"/>
        <v>211.23432902724076</v>
      </c>
      <c r="O82" s="67">
        <f t="shared" si="32"/>
        <v>451.6238966537807</v>
      </c>
      <c r="P82" s="67">
        <f t="shared" si="29"/>
        <v>18.817662360574197</v>
      </c>
      <c r="Q82" s="81">
        <f aca="true" t="shared" si="38" ref="Q82:Q118">P82-$P$14</f>
        <v>18.817662360574197</v>
      </c>
      <c r="R82" s="9"/>
      <c r="T82" s="69">
        <f t="shared" si="35"/>
        <v>1</v>
      </c>
      <c r="U82" s="13">
        <f t="shared" si="36"/>
        <v>1</v>
      </c>
      <c r="V82" s="10">
        <f t="shared" si="33"/>
        <v>36</v>
      </c>
      <c r="W82" s="13" t="str">
        <f t="shared" si="34"/>
        <v>N</v>
      </c>
      <c r="Y82" s="13">
        <v>2</v>
      </c>
      <c r="Z82" s="45"/>
      <c r="AA82" s="46"/>
      <c r="AB82" s="45"/>
    </row>
    <row r="83" spans="1:28" s="10" customFormat="1" ht="12">
      <c r="A83" s="85">
        <v>1000</v>
      </c>
      <c r="B83" s="47" t="s">
        <v>66</v>
      </c>
      <c r="C83" s="62">
        <v>36</v>
      </c>
      <c r="D83" s="63">
        <v>0</v>
      </c>
      <c r="E83" s="62" t="s">
        <v>32</v>
      </c>
      <c r="F83" s="62">
        <v>72</v>
      </c>
      <c r="G83" s="63">
        <v>30</v>
      </c>
      <c r="H83" s="44" t="s">
        <v>33</v>
      </c>
      <c r="I83" s="38">
        <f t="shared" si="37"/>
        <v>24.270483223854324</v>
      </c>
      <c r="J83" s="64">
        <v>9</v>
      </c>
      <c r="K83" s="40">
        <f t="shared" si="30"/>
        <v>2.696720358206036</v>
      </c>
      <c r="L83" s="41">
        <f t="shared" si="31"/>
        <v>2.8666666666666667</v>
      </c>
      <c r="M83" s="42">
        <f t="shared" si="11"/>
        <v>211.34669237549934</v>
      </c>
      <c r="N83" s="43">
        <f t="shared" si="28"/>
        <v>211.46613681994378</v>
      </c>
      <c r="O83" s="67">
        <f t="shared" si="32"/>
        <v>457.18728367865344</v>
      </c>
      <c r="P83" s="67">
        <f t="shared" si="29"/>
        <v>19.049470153277227</v>
      </c>
      <c r="Q83" s="81">
        <f t="shared" si="38"/>
        <v>19.049470153277227</v>
      </c>
      <c r="R83" s="9"/>
      <c r="T83" s="69">
        <f t="shared" si="35"/>
        <v>1</v>
      </c>
      <c r="U83" s="13">
        <f t="shared" si="36"/>
        <v>1</v>
      </c>
      <c r="V83" s="10">
        <f t="shared" si="33"/>
        <v>36</v>
      </c>
      <c r="W83" s="13" t="str">
        <f t="shared" si="34"/>
        <v>N</v>
      </c>
      <c r="Y83" s="13">
        <v>2</v>
      </c>
      <c r="Z83" s="45"/>
      <c r="AA83" s="46"/>
      <c r="AB83" s="45"/>
    </row>
    <row r="84" spans="1:28" s="10" customFormat="1" ht="12">
      <c r="A84" s="85">
        <v>1000</v>
      </c>
      <c r="B84" s="47" t="s">
        <v>67</v>
      </c>
      <c r="C84" s="62">
        <v>40</v>
      </c>
      <c r="D84" s="63">
        <v>0</v>
      </c>
      <c r="E84" s="62" t="s">
        <v>32</v>
      </c>
      <c r="F84" s="62">
        <v>74</v>
      </c>
      <c r="G84" s="63">
        <v>0</v>
      </c>
      <c r="H84" s="44" t="s">
        <v>33</v>
      </c>
      <c r="I84" s="38">
        <f t="shared" si="37"/>
        <v>250.2476557933504</v>
      </c>
      <c r="J84" s="64">
        <v>12</v>
      </c>
      <c r="K84" s="40">
        <f t="shared" si="30"/>
        <v>20.85397131611253</v>
      </c>
      <c r="L84" s="41">
        <f t="shared" si="31"/>
        <v>2.8666666666666667</v>
      </c>
      <c r="M84" s="42">
        <f t="shared" si="11"/>
        <v>212.33505229144848</v>
      </c>
      <c r="N84" s="43">
        <f t="shared" si="28"/>
        <v>212.45449673589292</v>
      </c>
      <c r="O84" s="67">
        <f t="shared" si="32"/>
        <v>480.9079216614326</v>
      </c>
      <c r="P84" s="67">
        <f t="shared" si="29"/>
        <v>20.03783006922636</v>
      </c>
      <c r="Q84" s="81">
        <f t="shared" si="38"/>
        <v>20.03783006922636</v>
      </c>
      <c r="R84" s="9"/>
      <c r="T84" s="69">
        <f t="shared" si="35"/>
        <v>1</v>
      </c>
      <c r="U84" s="13">
        <f t="shared" si="36"/>
        <v>1</v>
      </c>
      <c r="V84" s="10">
        <f t="shared" si="33"/>
        <v>40</v>
      </c>
      <c r="W84" s="13" t="str">
        <f t="shared" si="34"/>
        <v>N</v>
      </c>
      <c r="Y84" s="13">
        <v>2</v>
      </c>
      <c r="Z84" s="45"/>
      <c r="AA84" s="46"/>
      <c r="AB84" s="45"/>
    </row>
    <row r="85" spans="1:28" s="10" customFormat="1" ht="12">
      <c r="A85" s="85">
        <v>1000</v>
      </c>
      <c r="B85" s="47" t="s">
        <v>68</v>
      </c>
      <c r="C85" s="62">
        <v>40</v>
      </c>
      <c r="D85" s="63">
        <v>0</v>
      </c>
      <c r="E85" s="62" t="s">
        <v>32</v>
      </c>
      <c r="F85" s="62">
        <v>73</v>
      </c>
      <c r="G85" s="63">
        <v>30</v>
      </c>
      <c r="H85" s="44" t="s">
        <v>33</v>
      </c>
      <c r="I85" s="38">
        <f t="shared" si="37"/>
        <v>22.981303163837882</v>
      </c>
      <c r="J85" s="64">
        <v>9</v>
      </c>
      <c r="K85" s="40">
        <f t="shared" si="30"/>
        <v>2.5534781293153204</v>
      </c>
      <c r="L85" s="41">
        <f t="shared" si="31"/>
        <v>2.8666666666666667</v>
      </c>
      <c r="M85" s="42">
        <f aca="true" t="shared" si="39" ref="M85:M118">N84+K85/24</f>
        <v>212.56089165794774</v>
      </c>
      <c r="N85" s="43">
        <f t="shared" si="28"/>
        <v>212.68033610239218</v>
      </c>
      <c r="O85" s="67">
        <f t="shared" si="32"/>
        <v>486.3280664574146</v>
      </c>
      <c r="P85" s="67">
        <f t="shared" si="29"/>
        <v>20.263669435725607</v>
      </c>
      <c r="Q85" s="81">
        <f t="shared" si="38"/>
        <v>20.263669435725607</v>
      </c>
      <c r="R85" s="9"/>
      <c r="T85" s="69">
        <f t="shared" si="35"/>
        <v>1</v>
      </c>
      <c r="U85" s="13">
        <f t="shared" si="36"/>
        <v>1</v>
      </c>
      <c r="V85" s="10">
        <f t="shared" si="33"/>
        <v>40</v>
      </c>
      <c r="W85" s="13" t="str">
        <f t="shared" si="34"/>
        <v>N</v>
      </c>
      <c r="Y85" s="13">
        <v>2</v>
      </c>
      <c r="Z85" s="45"/>
      <c r="AA85" s="46"/>
      <c r="AB85" s="45"/>
    </row>
    <row r="86" spans="1:28" s="10" customFormat="1" ht="12">
      <c r="A86" s="85">
        <v>1000</v>
      </c>
      <c r="B86" s="47" t="s">
        <v>69</v>
      </c>
      <c r="C86" s="62">
        <v>40</v>
      </c>
      <c r="D86" s="63">
        <v>0</v>
      </c>
      <c r="E86" s="62" t="s">
        <v>32</v>
      </c>
      <c r="F86" s="62">
        <v>73</v>
      </c>
      <c r="G86" s="63">
        <v>0</v>
      </c>
      <c r="H86" s="44" t="s">
        <v>33</v>
      </c>
      <c r="I86" s="38">
        <f t="shared" si="37"/>
        <v>22.981303163837882</v>
      </c>
      <c r="J86" s="64">
        <v>9</v>
      </c>
      <c r="K86" s="40">
        <f t="shared" si="30"/>
        <v>2.5534781293153204</v>
      </c>
      <c r="L86" s="41">
        <f t="shared" si="31"/>
        <v>2.8666666666666667</v>
      </c>
      <c r="M86" s="42">
        <f t="shared" si="39"/>
        <v>212.786731024447</v>
      </c>
      <c r="N86" s="43">
        <f t="shared" si="28"/>
        <v>212.90617546889143</v>
      </c>
      <c r="O86" s="67">
        <f t="shared" si="32"/>
        <v>491.74821125339656</v>
      </c>
      <c r="P86" s="67">
        <f t="shared" si="29"/>
        <v>20.489508802224858</v>
      </c>
      <c r="Q86" s="81">
        <f t="shared" si="38"/>
        <v>20.489508802224858</v>
      </c>
      <c r="R86" s="9"/>
      <c r="T86" s="69">
        <f t="shared" si="35"/>
        <v>1</v>
      </c>
      <c r="U86" s="13">
        <f t="shared" si="36"/>
        <v>1</v>
      </c>
      <c r="V86" s="10">
        <f t="shared" si="33"/>
        <v>40</v>
      </c>
      <c r="W86" s="13" t="str">
        <f t="shared" si="34"/>
        <v>N</v>
      </c>
      <c r="Y86" s="13">
        <v>2</v>
      </c>
      <c r="Z86" s="45"/>
      <c r="AA86" s="46"/>
      <c r="AB86" s="45"/>
    </row>
    <row r="87" spans="1:28" s="10" customFormat="1" ht="12">
      <c r="A87" s="85">
        <v>1000</v>
      </c>
      <c r="B87" s="47" t="s">
        <v>70</v>
      </c>
      <c r="C87" s="62">
        <v>40</v>
      </c>
      <c r="D87" s="63">
        <v>0</v>
      </c>
      <c r="E87" s="62" t="s">
        <v>32</v>
      </c>
      <c r="F87" s="62">
        <v>72</v>
      </c>
      <c r="G87" s="63">
        <v>30</v>
      </c>
      <c r="H87" s="44" t="s">
        <v>33</v>
      </c>
      <c r="I87" s="38">
        <f t="shared" si="37"/>
        <v>22.981303163837882</v>
      </c>
      <c r="J87" s="64">
        <v>9</v>
      </c>
      <c r="K87" s="40">
        <f t="shared" si="30"/>
        <v>2.5534781293153204</v>
      </c>
      <c r="L87" s="41">
        <f t="shared" si="31"/>
        <v>2.8666666666666667</v>
      </c>
      <c r="M87" s="42">
        <f t="shared" si="39"/>
        <v>213.01257039094625</v>
      </c>
      <c r="N87" s="43">
        <f t="shared" si="28"/>
        <v>213.1320148353907</v>
      </c>
      <c r="O87" s="67">
        <f t="shared" si="32"/>
        <v>497.16835604937853</v>
      </c>
      <c r="P87" s="67">
        <f t="shared" si="29"/>
        <v>20.715348168724105</v>
      </c>
      <c r="Q87" s="81">
        <f t="shared" si="38"/>
        <v>20.715348168724105</v>
      </c>
      <c r="R87" s="9"/>
      <c r="T87" s="69">
        <f t="shared" si="35"/>
        <v>1</v>
      </c>
      <c r="U87" s="13">
        <f t="shared" si="36"/>
        <v>1</v>
      </c>
      <c r="V87" s="10">
        <f t="shared" si="33"/>
        <v>40</v>
      </c>
      <c r="W87" s="13" t="str">
        <f t="shared" si="34"/>
        <v>N</v>
      </c>
      <c r="Y87" s="13">
        <v>2</v>
      </c>
      <c r="Z87" s="45"/>
      <c r="AA87" s="46"/>
      <c r="AB87" s="45"/>
    </row>
    <row r="88" spans="1:28" s="10" customFormat="1" ht="12">
      <c r="A88" s="85">
        <v>1000</v>
      </c>
      <c r="B88" s="47" t="s">
        <v>71</v>
      </c>
      <c r="C88" s="62">
        <v>40</v>
      </c>
      <c r="D88" s="63">
        <v>0</v>
      </c>
      <c r="E88" s="62" t="s">
        <v>32</v>
      </c>
      <c r="F88" s="62">
        <v>72</v>
      </c>
      <c r="G88" s="63">
        <v>0</v>
      </c>
      <c r="H88" s="44" t="s">
        <v>33</v>
      </c>
      <c r="I88" s="38">
        <f t="shared" si="37"/>
        <v>22.981303163837882</v>
      </c>
      <c r="J88" s="64">
        <v>9</v>
      </c>
      <c r="K88" s="40">
        <f t="shared" si="30"/>
        <v>2.5534781293153204</v>
      </c>
      <c r="L88" s="41">
        <f t="shared" si="31"/>
        <v>2.8666666666666667</v>
      </c>
      <c r="M88" s="42">
        <f t="shared" si="39"/>
        <v>213.2384097574455</v>
      </c>
      <c r="N88" s="43">
        <f t="shared" si="28"/>
        <v>213.35785420188995</v>
      </c>
      <c r="O88" s="67">
        <f t="shared" si="32"/>
        <v>502.5885008453605</v>
      </c>
      <c r="P88" s="67">
        <f t="shared" si="29"/>
        <v>20.941187535223353</v>
      </c>
      <c r="Q88" s="81">
        <f t="shared" si="38"/>
        <v>20.941187535223353</v>
      </c>
      <c r="R88" s="9"/>
      <c r="T88" s="69">
        <f t="shared" si="35"/>
        <v>1</v>
      </c>
      <c r="U88" s="13">
        <f t="shared" si="36"/>
        <v>1</v>
      </c>
      <c r="V88" s="10">
        <f t="shared" si="33"/>
        <v>40</v>
      </c>
      <c r="W88" s="13" t="str">
        <f t="shared" si="34"/>
        <v>N</v>
      </c>
      <c r="Y88" s="13">
        <v>2</v>
      </c>
      <c r="Z88" s="45"/>
      <c r="AA88" s="46"/>
      <c r="AB88" s="45"/>
    </row>
    <row r="89" spans="1:28" s="10" customFormat="1" ht="12">
      <c r="A89" s="85">
        <v>1000</v>
      </c>
      <c r="B89" s="47" t="s">
        <v>72</v>
      </c>
      <c r="C89" s="62">
        <v>40</v>
      </c>
      <c r="D89" s="63">
        <v>0</v>
      </c>
      <c r="E89" s="62" t="s">
        <v>32</v>
      </c>
      <c r="F89" s="62">
        <v>71</v>
      </c>
      <c r="G89" s="63">
        <v>30</v>
      </c>
      <c r="H89" s="44" t="s">
        <v>33</v>
      </c>
      <c r="I89" s="38">
        <f t="shared" si="37"/>
        <v>22.981303163837882</v>
      </c>
      <c r="J89" s="64">
        <v>9</v>
      </c>
      <c r="K89" s="40">
        <f t="shared" si="30"/>
        <v>2.5534781293153204</v>
      </c>
      <c r="L89" s="41">
        <f t="shared" si="31"/>
        <v>2.8666666666666667</v>
      </c>
      <c r="M89" s="42">
        <f t="shared" si="39"/>
        <v>213.46424912394477</v>
      </c>
      <c r="N89" s="43">
        <f t="shared" si="28"/>
        <v>213.5836935683892</v>
      </c>
      <c r="O89" s="67">
        <f t="shared" si="32"/>
        <v>508.00864564134247</v>
      </c>
      <c r="P89" s="67">
        <f t="shared" si="29"/>
        <v>21.167026901722604</v>
      </c>
      <c r="Q89" s="81">
        <f t="shared" si="38"/>
        <v>21.167026901722604</v>
      </c>
      <c r="R89" s="9"/>
      <c r="T89" s="69">
        <f t="shared" si="35"/>
        <v>1</v>
      </c>
      <c r="U89" s="13">
        <f t="shared" si="36"/>
        <v>1</v>
      </c>
      <c r="V89" s="10">
        <f t="shared" si="33"/>
        <v>40</v>
      </c>
      <c r="W89" s="13" t="str">
        <f t="shared" si="34"/>
        <v>N</v>
      </c>
      <c r="Y89" s="13">
        <v>2</v>
      </c>
      <c r="Z89" s="45"/>
      <c r="AA89" s="46"/>
      <c r="AB89" s="45"/>
    </row>
    <row r="90" spans="1:28" s="10" customFormat="1" ht="12">
      <c r="A90" s="85">
        <v>1000</v>
      </c>
      <c r="B90" s="47" t="s">
        <v>73</v>
      </c>
      <c r="C90" s="62">
        <v>40</v>
      </c>
      <c r="D90" s="63">
        <v>0</v>
      </c>
      <c r="E90" s="62" t="s">
        <v>32</v>
      </c>
      <c r="F90" s="62">
        <v>71</v>
      </c>
      <c r="G90" s="63">
        <v>0</v>
      </c>
      <c r="H90" s="44" t="s">
        <v>33</v>
      </c>
      <c r="I90" s="38">
        <f t="shared" si="37"/>
        <v>22.981303163837882</v>
      </c>
      <c r="J90" s="64">
        <v>9</v>
      </c>
      <c r="K90" s="40">
        <f t="shared" si="30"/>
        <v>2.5534781293153204</v>
      </c>
      <c r="L90" s="41">
        <f t="shared" si="31"/>
        <v>2.8666666666666667</v>
      </c>
      <c r="M90" s="42">
        <f t="shared" si="39"/>
        <v>213.69008849044403</v>
      </c>
      <c r="N90" s="43">
        <f t="shared" si="28"/>
        <v>213.80953293488847</v>
      </c>
      <c r="O90" s="67">
        <f t="shared" si="32"/>
        <v>513.4287904373244</v>
      </c>
      <c r="P90" s="67">
        <f t="shared" si="29"/>
        <v>21.39286626822185</v>
      </c>
      <c r="Q90" s="81">
        <f t="shared" si="38"/>
        <v>21.39286626822185</v>
      </c>
      <c r="R90" s="9"/>
      <c r="T90" s="69">
        <f t="shared" si="35"/>
        <v>1</v>
      </c>
      <c r="U90" s="13">
        <f t="shared" si="36"/>
        <v>1</v>
      </c>
      <c r="V90" s="10">
        <f t="shared" si="33"/>
        <v>40</v>
      </c>
      <c r="W90" s="13" t="str">
        <f t="shared" si="34"/>
        <v>N</v>
      </c>
      <c r="Y90" s="13">
        <v>2</v>
      </c>
      <c r="Z90" s="45"/>
      <c r="AA90" s="46"/>
      <c r="AB90" s="45"/>
    </row>
    <row r="91" spans="1:28" s="10" customFormat="1" ht="12">
      <c r="A91" s="85">
        <v>1000</v>
      </c>
      <c r="B91" s="47" t="s">
        <v>74</v>
      </c>
      <c r="C91" s="62">
        <v>40</v>
      </c>
      <c r="D91" s="63">
        <v>0</v>
      </c>
      <c r="E91" s="62" t="s">
        <v>32</v>
      </c>
      <c r="F91" s="62">
        <v>70</v>
      </c>
      <c r="G91" s="63">
        <v>30</v>
      </c>
      <c r="H91" s="44" t="s">
        <v>33</v>
      </c>
      <c r="I91" s="38">
        <f t="shared" si="37"/>
        <v>22.981303163837882</v>
      </c>
      <c r="J91" s="64">
        <v>9</v>
      </c>
      <c r="K91" s="40">
        <f t="shared" si="30"/>
        <v>2.5534781293153204</v>
      </c>
      <c r="L91" s="41">
        <f t="shared" si="31"/>
        <v>2.8666666666666667</v>
      </c>
      <c r="M91" s="42">
        <f t="shared" si="39"/>
        <v>213.91592785694328</v>
      </c>
      <c r="N91" s="43">
        <f t="shared" si="28"/>
        <v>214.03537230138772</v>
      </c>
      <c r="O91" s="67">
        <f t="shared" si="32"/>
        <v>518.8489352333064</v>
      </c>
      <c r="P91" s="67">
        <f t="shared" si="29"/>
        <v>21.6187056347211</v>
      </c>
      <c r="Q91" s="81">
        <f t="shared" si="38"/>
        <v>21.6187056347211</v>
      </c>
      <c r="R91" s="9"/>
      <c r="T91" s="69">
        <f t="shared" si="35"/>
        <v>1</v>
      </c>
      <c r="U91" s="13">
        <f t="shared" si="36"/>
        <v>1</v>
      </c>
      <c r="V91" s="10">
        <f t="shared" si="33"/>
        <v>40</v>
      </c>
      <c r="W91" s="13" t="str">
        <f t="shared" si="34"/>
        <v>N</v>
      </c>
      <c r="Y91" s="13">
        <v>2</v>
      </c>
      <c r="Z91" s="45"/>
      <c r="AA91" s="46"/>
      <c r="AB91" s="45"/>
    </row>
    <row r="92" spans="1:28" s="10" customFormat="1" ht="12">
      <c r="A92" s="85">
        <v>1000</v>
      </c>
      <c r="B92" s="47" t="s">
        <v>75</v>
      </c>
      <c r="C92" s="62">
        <v>40</v>
      </c>
      <c r="D92" s="63">
        <v>0</v>
      </c>
      <c r="E92" s="62" t="s">
        <v>32</v>
      </c>
      <c r="F92" s="62">
        <v>70</v>
      </c>
      <c r="G92" s="63">
        <v>0</v>
      </c>
      <c r="H92" s="44" t="s">
        <v>33</v>
      </c>
      <c r="I92" s="38">
        <f t="shared" si="37"/>
        <v>22.981303163837882</v>
      </c>
      <c r="J92" s="64">
        <v>9</v>
      </c>
      <c r="K92" s="40">
        <f t="shared" si="30"/>
        <v>2.5534781293153204</v>
      </c>
      <c r="L92" s="41">
        <f t="shared" si="31"/>
        <v>2.8666666666666667</v>
      </c>
      <c r="M92" s="42">
        <f t="shared" si="39"/>
        <v>214.14176722344254</v>
      </c>
      <c r="N92" s="43">
        <f t="shared" si="28"/>
        <v>214.26121166788698</v>
      </c>
      <c r="O92" s="67">
        <f t="shared" si="32"/>
        <v>524.2690800292884</v>
      </c>
      <c r="P92" s="67">
        <f t="shared" si="29"/>
        <v>21.84454500122035</v>
      </c>
      <c r="Q92" s="81">
        <f t="shared" si="38"/>
        <v>21.84454500122035</v>
      </c>
      <c r="R92" s="9"/>
      <c r="T92" s="69">
        <f t="shared" si="35"/>
        <v>1</v>
      </c>
      <c r="U92" s="13">
        <f t="shared" si="36"/>
        <v>1</v>
      </c>
      <c r="V92" s="10">
        <f t="shared" si="33"/>
        <v>40</v>
      </c>
      <c r="W92" s="13" t="str">
        <f t="shared" si="34"/>
        <v>N</v>
      </c>
      <c r="Y92" s="13">
        <v>2</v>
      </c>
      <c r="Z92" s="45"/>
      <c r="AA92" s="46"/>
      <c r="AB92" s="45"/>
    </row>
    <row r="93" spans="1:28" s="10" customFormat="1" ht="12">
      <c r="A93" s="85">
        <v>1000</v>
      </c>
      <c r="B93" s="47" t="s">
        <v>76</v>
      </c>
      <c r="C93" s="62">
        <v>40</v>
      </c>
      <c r="D93" s="63">
        <v>0</v>
      </c>
      <c r="E93" s="62" t="s">
        <v>32</v>
      </c>
      <c r="F93" s="62">
        <v>69</v>
      </c>
      <c r="G93" s="63">
        <v>30</v>
      </c>
      <c r="H93" s="44" t="s">
        <v>33</v>
      </c>
      <c r="I93" s="38">
        <f t="shared" si="37"/>
        <v>22.981303163837882</v>
      </c>
      <c r="J93" s="64">
        <v>9</v>
      </c>
      <c r="K93" s="40">
        <f t="shared" si="30"/>
        <v>2.5534781293153204</v>
      </c>
      <c r="L93" s="41">
        <f t="shared" si="31"/>
        <v>2.8666666666666667</v>
      </c>
      <c r="M93" s="42">
        <f t="shared" si="39"/>
        <v>214.3676065899418</v>
      </c>
      <c r="N93" s="43">
        <f t="shared" si="28"/>
        <v>214.48705103438624</v>
      </c>
      <c r="O93" s="67">
        <f t="shared" si="32"/>
        <v>529.6892248252703</v>
      </c>
      <c r="P93" s="67">
        <f t="shared" si="29"/>
        <v>22.070384367719598</v>
      </c>
      <c r="Q93" s="81">
        <f t="shared" si="38"/>
        <v>22.070384367719598</v>
      </c>
      <c r="R93" s="9"/>
      <c r="T93" s="69">
        <f t="shared" si="35"/>
        <v>1</v>
      </c>
      <c r="U93" s="13">
        <f t="shared" si="36"/>
        <v>1</v>
      </c>
      <c r="V93" s="10">
        <f t="shared" si="33"/>
        <v>40</v>
      </c>
      <c r="W93" s="13" t="str">
        <f t="shared" si="34"/>
        <v>N</v>
      </c>
      <c r="Y93" s="13">
        <v>2</v>
      </c>
      <c r="Z93" s="45"/>
      <c r="AA93" s="46"/>
      <c r="AB93" s="45"/>
    </row>
    <row r="94" spans="1:28" s="10" customFormat="1" ht="12">
      <c r="A94" s="85">
        <v>1000</v>
      </c>
      <c r="B94" s="47" t="s">
        <v>77</v>
      </c>
      <c r="C94" s="62">
        <v>43</v>
      </c>
      <c r="D94" s="63">
        <v>0</v>
      </c>
      <c r="E94" s="62" t="s">
        <v>32</v>
      </c>
      <c r="F94" s="62">
        <v>70</v>
      </c>
      <c r="G94" s="63">
        <v>0</v>
      </c>
      <c r="H94" s="44" t="s">
        <v>33</v>
      </c>
      <c r="I94" s="38">
        <f t="shared" si="37"/>
        <v>181.39584768006299</v>
      </c>
      <c r="J94" s="64">
        <v>12</v>
      </c>
      <c r="K94" s="40">
        <f t="shared" si="30"/>
        <v>15.116320640005249</v>
      </c>
      <c r="L94" s="41">
        <f t="shared" si="31"/>
        <v>2.8666666666666667</v>
      </c>
      <c r="M94" s="42">
        <f t="shared" si="39"/>
        <v>215.1168977277198</v>
      </c>
      <c r="N94" s="43">
        <f t="shared" si="28"/>
        <v>215.23634217216423</v>
      </c>
      <c r="O94" s="67">
        <f t="shared" si="32"/>
        <v>547.6722121319423</v>
      </c>
      <c r="P94" s="67">
        <f t="shared" si="29"/>
        <v>22.819675505497596</v>
      </c>
      <c r="Q94" s="81">
        <f t="shared" si="38"/>
        <v>22.819675505497596</v>
      </c>
      <c r="R94" s="9"/>
      <c r="T94" s="69">
        <f t="shared" si="35"/>
        <v>1</v>
      </c>
      <c r="U94" s="13">
        <f t="shared" si="36"/>
        <v>1</v>
      </c>
      <c r="V94" s="10">
        <f t="shared" si="33"/>
        <v>43</v>
      </c>
      <c r="W94" s="13" t="str">
        <f t="shared" si="34"/>
        <v>N</v>
      </c>
      <c r="Y94" s="13">
        <v>2</v>
      </c>
      <c r="Z94" s="45"/>
      <c r="AA94" s="46"/>
      <c r="AB94" s="45"/>
    </row>
    <row r="95" spans="1:28" s="10" customFormat="1" ht="12">
      <c r="A95" s="85">
        <v>1000</v>
      </c>
      <c r="B95" s="47" t="s">
        <v>78</v>
      </c>
      <c r="C95" s="62">
        <v>43</v>
      </c>
      <c r="D95" s="63">
        <v>0</v>
      </c>
      <c r="E95" s="62" t="s">
        <v>32</v>
      </c>
      <c r="F95" s="62">
        <v>69</v>
      </c>
      <c r="G95" s="63">
        <v>40</v>
      </c>
      <c r="H95" s="44" t="s">
        <v>33</v>
      </c>
      <c r="I95" s="38">
        <f t="shared" si="37"/>
        <v>14.627064437743455</v>
      </c>
      <c r="J95" s="64">
        <v>9</v>
      </c>
      <c r="K95" s="40">
        <f t="shared" si="30"/>
        <v>1.625229381971495</v>
      </c>
      <c r="L95" s="41">
        <f t="shared" si="31"/>
        <v>2.8666666666666667</v>
      </c>
      <c r="M95" s="42">
        <f t="shared" si="39"/>
        <v>215.3040600630797</v>
      </c>
      <c r="N95" s="43">
        <f t="shared" si="28"/>
        <v>215.42350450752414</v>
      </c>
      <c r="O95" s="67">
        <f t="shared" si="32"/>
        <v>552.1641081805805</v>
      </c>
      <c r="P95" s="67">
        <f t="shared" si="29"/>
        <v>23.006837840857518</v>
      </c>
      <c r="Q95" s="81">
        <f t="shared" si="38"/>
        <v>23.006837840857518</v>
      </c>
      <c r="R95" s="9"/>
      <c r="T95" s="69">
        <f t="shared" si="35"/>
        <v>1</v>
      </c>
      <c r="U95" s="13">
        <f t="shared" si="36"/>
        <v>1</v>
      </c>
      <c r="V95" s="10">
        <f t="shared" si="33"/>
        <v>43</v>
      </c>
      <c r="W95" s="13" t="str">
        <f t="shared" si="34"/>
        <v>N</v>
      </c>
      <c r="Y95" s="13">
        <v>2</v>
      </c>
      <c r="Z95" s="45"/>
      <c r="AA95" s="46"/>
      <c r="AB95" s="45"/>
    </row>
    <row r="96" spans="1:28" s="10" customFormat="1" ht="12">
      <c r="A96" s="85">
        <v>1000</v>
      </c>
      <c r="B96" s="47" t="s">
        <v>79</v>
      </c>
      <c r="C96" s="62">
        <v>43</v>
      </c>
      <c r="D96" s="63">
        <v>0</v>
      </c>
      <c r="E96" s="62" t="s">
        <v>32</v>
      </c>
      <c r="F96" s="62">
        <v>69</v>
      </c>
      <c r="G96" s="63">
        <v>20</v>
      </c>
      <c r="H96" s="44" t="s">
        <v>33</v>
      </c>
      <c r="I96" s="38">
        <f t="shared" si="37"/>
        <v>14.627064437743455</v>
      </c>
      <c r="J96" s="64">
        <v>9</v>
      </c>
      <c r="K96" s="40">
        <f t="shared" si="30"/>
        <v>1.625229381971495</v>
      </c>
      <c r="L96" s="41">
        <f t="shared" si="31"/>
        <v>2.8666666666666667</v>
      </c>
      <c r="M96" s="42">
        <f t="shared" si="39"/>
        <v>215.49122239843962</v>
      </c>
      <c r="N96" s="43">
        <f t="shared" si="28"/>
        <v>215.61066684288406</v>
      </c>
      <c r="O96" s="67">
        <f t="shared" si="32"/>
        <v>556.6560042292186</v>
      </c>
      <c r="P96" s="67">
        <f t="shared" si="29"/>
        <v>23.194000176217443</v>
      </c>
      <c r="Q96" s="81">
        <f t="shared" si="38"/>
        <v>23.194000176217443</v>
      </c>
      <c r="R96" s="9"/>
      <c r="T96" s="69">
        <f t="shared" si="35"/>
        <v>1</v>
      </c>
      <c r="U96" s="13">
        <f t="shared" si="36"/>
        <v>1</v>
      </c>
      <c r="V96" s="10">
        <f t="shared" si="33"/>
        <v>43</v>
      </c>
      <c r="W96" s="13" t="str">
        <f t="shared" si="34"/>
        <v>N</v>
      </c>
      <c r="Y96" s="13">
        <v>2</v>
      </c>
      <c r="Z96" s="45"/>
      <c r="AA96" s="46"/>
      <c r="AB96" s="45"/>
    </row>
    <row r="97" spans="1:28" s="10" customFormat="1" ht="12">
      <c r="A97" s="85">
        <v>1000</v>
      </c>
      <c r="B97" s="47" t="s">
        <v>80</v>
      </c>
      <c r="C97" s="62">
        <v>43</v>
      </c>
      <c r="D97" s="63">
        <v>0</v>
      </c>
      <c r="E97" s="62" t="s">
        <v>32</v>
      </c>
      <c r="F97" s="62">
        <v>69</v>
      </c>
      <c r="G97" s="63">
        <v>0</v>
      </c>
      <c r="H97" s="44" t="s">
        <v>33</v>
      </c>
      <c r="I97" s="38">
        <f t="shared" si="37"/>
        <v>14.627064437743455</v>
      </c>
      <c r="J97" s="64">
        <v>9</v>
      </c>
      <c r="K97" s="40">
        <f t="shared" si="30"/>
        <v>1.625229381971495</v>
      </c>
      <c r="L97" s="41">
        <f t="shared" si="31"/>
        <v>2.8666666666666667</v>
      </c>
      <c r="M97" s="42">
        <f t="shared" si="39"/>
        <v>215.67838473379953</v>
      </c>
      <c r="N97" s="43">
        <f t="shared" si="28"/>
        <v>215.79782917824397</v>
      </c>
      <c r="O97" s="67">
        <f t="shared" si="32"/>
        <v>561.1479002778568</v>
      </c>
      <c r="P97" s="67">
        <f t="shared" si="29"/>
        <v>23.38116251157737</v>
      </c>
      <c r="Q97" s="81">
        <f t="shared" si="38"/>
        <v>23.38116251157737</v>
      </c>
      <c r="R97" s="9"/>
      <c r="T97" s="69">
        <f t="shared" si="35"/>
        <v>1</v>
      </c>
      <c r="U97" s="13">
        <f t="shared" si="36"/>
        <v>1</v>
      </c>
      <c r="V97" s="10">
        <f t="shared" si="33"/>
        <v>43</v>
      </c>
      <c r="W97" s="13" t="str">
        <f t="shared" si="34"/>
        <v>N</v>
      </c>
      <c r="Y97" s="13">
        <v>2</v>
      </c>
      <c r="Z97" s="45"/>
      <c r="AA97" s="46"/>
      <c r="AB97" s="45"/>
    </row>
    <row r="98" spans="1:28" s="10" customFormat="1" ht="12">
      <c r="A98" s="85">
        <v>1000</v>
      </c>
      <c r="B98" s="47" t="s">
        <v>81</v>
      </c>
      <c r="C98" s="62">
        <v>43</v>
      </c>
      <c r="D98" s="63">
        <v>0</v>
      </c>
      <c r="E98" s="62" t="s">
        <v>32</v>
      </c>
      <c r="F98" s="62">
        <v>68</v>
      </c>
      <c r="G98" s="63">
        <v>40</v>
      </c>
      <c r="H98" s="44" t="s">
        <v>33</v>
      </c>
      <c r="I98" s="38">
        <f t="shared" si="37"/>
        <v>14.627064437743455</v>
      </c>
      <c r="J98" s="64">
        <v>9</v>
      </c>
      <c r="K98" s="40">
        <f t="shared" si="30"/>
        <v>1.625229381971495</v>
      </c>
      <c r="L98" s="41">
        <f t="shared" si="31"/>
        <v>2.8666666666666667</v>
      </c>
      <c r="M98" s="42">
        <f t="shared" si="39"/>
        <v>215.86554706915945</v>
      </c>
      <c r="N98" s="43">
        <f t="shared" si="28"/>
        <v>215.9849915136039</v>
      </c>
      <c r="O98" s="67">
        <f t="shared" si="32"/>
        <v>565.639796326495</v>
      </c>
      <c r="P98" s="67">
        <f t="shared" si="29"/>
        <v>23.56832484693729</v>
      </c>
      <c r="Q98" s="81">
        <f t="shared" si="38"/>
        <v>23.56832484693729</v>
      </c>
      <c r="R98" s="9"/>
      <c r="T98" s="69">
        <f t="shared" si="35"/>
        <v>1</v>
      </c>
      <c r="U98" s="13">
        <f t="shared" si="36"/>
        <v>1</v>
      </c>
      <c r="V98" s="10">
        <f t="shared" si="33"/>
        <v>43</v>
      </c>
      <c r="W98" s="13" t="str">
        <f t="shared" si="34"/>
        <v>N</v>
      </c>
      <c r="Y98" s="13">
        <v>2</v>
      </c>
      <c r="Z98" s="45"/>
      <c r="AA98" s="46"/>
      <c r="AB98" s="45"/>
    </row>
    <row r="99" spans="1:28" s="10" customFormat="1" ht="12.75" customHeight="1">
      <c r="A99" s="85">
        <v>1000</v>
      </c>
      <c r="B99" s="47" t="s">
        <v>82</v>
      </c>
      <c r="C99" s="62">
        <v>43</v>
      </c>
      <c r="D99" s="63">
        <v>0</v>
      </c>
      <c r="E99" s="62" t="s">
        <v>32</v>
      </c>
      <c r="F99" s="62">
        <v>68</v>
      </c>
      <c r="G99" s="63">
        <v>20</v>
      </c>
      <c r="H99" s="44" t="s">
        <v>33</v>
      </c>
      <c r="I99" s="38">
        <f t="shared" si="37"/>
        <v>14.627064437743455</v>
      </c>
      <c r="J99" s="64">
        <v>9</v>
      </c>
      <c r="K99" s="40">
        <f t="shared" si="30"/>
        <v>1.625229381971495</v>
      </c>
      <c r="L99" s="41">
        <f t="shared" si="31"/>
        <v>2.8666666666666667</v>
      </c>
      <c r="M99" s="42">
        <f t="shared" si="39"/>
        <v>216.05270940451936</v>
      </c>
      <c r="N99" s="43">
        <f t="shared" si="28"/>
        <v>216.1721538489638</v>
      </c>
      <c r="O99" s="67">
        <f t="shared" si="32"/>
        <v>570.1316923751332</v>
      </c>
      <c r="P99" s="67">
        <f t="shared" si="29"/>
        <v>23.755487182297216</v>
      </c>
      <c r="Q99" s="81">
        <f t="shared" si="38"/>
        <v>23.755487182297216</v>
      </c>
      <c r="R99" s="9" t="s">
        <v>113</v>
      </c>
      <c r="T99" s="69">
        <f t="shared" si="35"/>
        <v>1</v>
      </c>
      <c r="U99" s="13">
        <f t="shared" si="36"/>
        <v>1</v>
      </c>
      <c r="V99" s="10">
        <f t="shared" si="33"/>
        <v>43</v>
      </c>
      <c r="W99" s="13" t="str">
        <f t="shared" si="34"/>
        <v>N</v>
      </c>
      <c r="Y99" s="13">
        <v>2</v>
      </c>
      <c r="Z99" s="45"/>
      <c r="AA99" s="46"/>
      <c r="AB99" s="45"/>
    </row>
    <row r="100" spans="1:28" s="10" customFormat="1" ht="12.75" customHeight="1">
      <c r="A100" s="85">
        <v>1000</v>
      </c>
      <c r="B100" s="47" t="s">
        <v>83</v>
      </c>
      <c r="C100" s="62">
        <v>43</v>
      </c>
      <c r="D100" s="63">
        <v>0</v>
      </c>
      <c r="E100" s="62" t="s">
        <v>32</v>
      </c>
      <c r="F100" s="62">
        <v>68</v>
      </c>
      <c r="G100" s="63">
        <v>0</v>
      </c>
      <c r="H100" s="44" t="s">
        <v>33</v>
      </c>
      <c r="I100" s="38">
        <f t="shared" si="37"/>
        <v>14.627064437743455</v>
      </c>
      <c r="J100" s="64">
        <v>9</v>
      </c>
      <c r="K100" s="40">
        <f t="shared" si="30"/>
        <v>1.625229381971495</v>
      </c>
      <c r="L100" s="41">
        <f t="shared" si="31"/>
        <v>2.8666666666666667</v>
      </c>
      <c r="M100" s="42">
        <f t="shared" si="39"/>
        <v>216.23987173987928</v>
      </c>
      <c r="N100" s="43">
        <f t="shared" si="28"/>
        <v>216.35931618432372</v>
      </c>
      <c r="O100" s="67">
        <f t="shared" si="32"/>
        <v>574.6235884237714</v>
      </c>
      <c r="P100" s="67">
        <f t="shared" si="29"/>
        <v>23.94264951765714</v>
      </c>
      <c r="Q100" s="81">
        <f t="shared" si="38"/>
        <v>23.94264951765714</v>
      </c>
      <c r="R100" s="9"/>
      <c r="T100" s="69">
        <f t="shared" si="35"/>
        <v>1</v>
      </c>
      <c r="U100" s="13">
        <f t="shared" si="36"/>
        <v>1</v>
      </c>
      <c r="V100" s="10">
        <f t="shared" si="33"/>
        <v>43</v>
      </c>
      <c r="W100" s="13" t="str">
        <f t="shared" si="34"/>
        <v>N</v>
      </c>
      <c r="Y100" s="13">
        <v>2</v>
      </c>
      <c r="Z100" s="45"/>
      <c r="AA100" s="46"/>
      <c r="AB100" s="45"/>
    </row>
    <row r="101" spans="1:28" s="10" customFormat="1" ht="12.75" customHeight="1">
      <c r="A101" s="86">
        <v>1000</v>
      </c>
      <c r="B101" s="47" t="s">
        <v>84</v>
      </c>
      <c r="C101" s="62">
        <v>43</v>
      </c>
      <c r="D101" s="63">
        <v>0</v>
      </c>
      <c r="E101" s="62" t="s">
        <v>32</v>
      </c>
      <c r="F101" s="62">
        <v>67</v>
      </c>
      <c r="G101" s="63">
        <v>40</v>
      </c>
      <c r="H101" s="44" t="s">
        <v>33</v>
      </c>
      <c r="I101" s="91">
        <f t="shared" si="37"/>
        <v>14.627064437743455</v>
      </c>
      <c r="J101" s="92">
        <v>9</v>
      </c>
      <c r="K101" s="93">
        <f t="shared" si="30"/>
        <v>1.625229381971495</v>
      </c>
      <c r="L101" s="41">
        <f t="shared" si="31"/>
        <v>2.8666666666666667</v>
      </c>
      <c r="M101" s="94">
        <f t="shared" si="39"/>
        <v>216.4270340752392</v>
      </c>
      <c r="N101" s="43">
        <f t="shared" si="28"/>
        <v>216.54647851968363</v>
      </c>
      <c r="O101" s="67">
        <f t="shared" si="32"/>
        <v>579.1154844724095</v>
      </c>
      <c r="P101" s="67">
        <f t="shared" si="29"/>
        <v>24.129811853017063</v>
      </c>
      <c r="Q101" s="81">
        <f t="shared" si="38"/>
        <v>24.129811853017063</v>
      </c>
      <c r="R101" s="9"/>
      <c r="T101" s="69">
        <f t="shared" si="35"/>
        <v>1</v>
      </c>
      <c r="U101" s="13">
        <f t="shared" si="36"/>
        <v>1</v>
      </c>
      <c r="V101" s="10">
        <f t="shared" si="33"/>
        <v>43</v>
      </c>
      <c r="W101" s="13" t="str">
        <f t="shared" si="34"/>
        <v>N</v>
      </c>
      <c r="Y101" s="13">
        <v>2</v>
      </c>
      <c r="Z101" s="45"/>
      <c r="AA101" s="46"/>
      <c r="AB101" s="45"/>
    </row>
    <row r="102" spans="1:28" s="10" customFormat="1" ht="12.75" customHeight="1">
      <c r="A102" s="85">
        <v>1000</v>
      </c>
      <c r="B102" s="47" t="s">
        <v>114</v>
      </c>
      <c r="C102" s="62">
        <v>43</v>
      </c>
      <c r="D102" s="63">
        <v>0</v>
      </c>
      <c r="E102" s="62" t="s">
        <v>32</v>
      </c>
      <c r="F102" s="62">
        <v>67</v>
      </c>
      <c r="G102" s="63">
        <v>20</v>
      </c>
      <c r="H102" s="44" t="s">
        <v>33</v>
      </c>
      <c r="I102" s="38">
        <f t="shared" si="37"/>
        <v>14.627064437743455</v>
      </c>
      <c r="J102" s="39">
        <v>9</v>
      </c>
      <c r="K102" s="40">
        <f t="shared" si="30"/>
        <v>1.625229381971495</v>
      </c>
      <c r="L102" s="41">
        <f t="shared" si="31"/>
        <v>2.8666666666666667</v>
      </c>
      <c r="M102" s="42">
        <f t="shared" si="39"/>
        <v>216.6141964105991</v>
      </c>
      <c r="N102" s="43">
        <f t="shared" si="28"/>
        <v>216.73364085504355</v>
      </c>
      <c r="O102" s="67">
        <f t="shared" si="32"/>
        <v>583.6073805210477</v>
      </c>
      <c r="P102" s="67">
        <f t="shared" si="29"/>
        <v>24.31697418837699</v>
      </c>
      <c r="Q102" s="81">
        <f t="shared" si="38"/>
        <v>24.31697418837699</v>
      </c>
      <c r="R102" s="9"/>
      <c r="T102" s="69">
        <f t="shared" si="35"/>
        <v>1</v>
      </c>
      <c r="U102" s="13">
        <f t="shared" si="36"/>
        <v>1</v>
      </c>
      <c r="V102" s="10">
        <f t="shared" si="33"/>
        <v>43</v>
      </c>
      <c r="W102" s="13" t="str">
        <f t="shared" si="34"/>
        <v>N</v>
      </c>
      <c r="Y102" s="13">
        <v>2</v>
      </c>
      <c r="Z102" s="45"/>
      <c r="AA102" s="46"/>
      <c r="AB102" s="45"/>
    </row>
    <row r="103" spans="1:28" s="10" customFormat="1" ht="12.75" customHeight="1">
      <c r="A103" s="85">
        <v>1000</v>
      </c>
      <c r="B103" s="47" t="s">
        <v>115</v>
      </c>
      <c r="C103" s="62">
        <v>43</v>
      </c>
      <c r="D103" s="63">
        <v>0</v>
      </c>
      <c r="E103" s="62" t="s">
        <v>32</v>
      </c>
      <c r="F103" s="62">
        <v>67</v>
      </c>
      <c r="G103" s="63">
        <v>0</v>
      </c>
      <c r="H103" s="44" t="s">
        <v>33</v>
      </c>
      <c r="I103" s="38">
        <f t="shared" si="37"/>
        <v>14.627064437743455</v>
      </c>
      <c r="J103" s="39">
        <v>9</v>
      </c>
      <c r="K103" s="40">
        <f t="shared" si="30"/>
        <v>1.625229381971495</v>
      </c>
      <c r="L103" s="41">
        <f t="shared" si="31"/>
        <v>2.8666666666666667</v>
      </c>
      <c r="M103" s="42">
        <f t="shared" si="39"/>
        <v>216.80135874595902</v>
      </c>
      <c r="N103" s="43">
        <f t="shared" si="28"/>
        <v>216.92080319040346</v>
      </c>
      <c r="O103" s="67">
        <f t="shared" si="32"/>
        <v>588.0992765696859</v>
      </c>
      <c r="P103" s="67">
        <f t="shared" si="29"/>
        <v>24.504136523736914</v>
      </c>
      <c r="Q103" s="81">
        <f t="shared" si="38"/>
        <v>24.504136523736914</v>
      </c>
      <c r="R103" s="9"/>
      <c r="T103" s="69">
        <f t="shared" si="35"/>
        <v>1</v>
      </c>
      <c r="U103" s="13">
        <f t="shared" si="36"/>
        <v>1</v>
      </c>
      <c r="V103" s="10">
        <f t="shared" si="33"/>
        <v>43</v>
      </c>
      <c r="W103" s="13" t="str">
        <f t="shared" si="34"/>
        <v>N</v>
      </c>
      <c r="Y103" s="13">
        <v>2</v>
      </c>
      <c r="Z103" s="45"/>
      <c r="AA103" s="46"/>
      <c r="AB103" s="45"/>
    </row>
    <row r="104" spans="1:28" s="110" customFormat="1" ht="12.75" customHeight="1">
      <c r="A104" s="86">
        <v>5045</v>
      </c>
      <c r="B104" s="87" t="s">
        <v>85</v>
      </c>
      <c r="C104" s="88">
        <v>42</v>
      </c>
      <c r="D104" s="89">
        <v>20</v>
      </c>
      <c r="E104" s="88" t="s">
        <v>32</v>
      </c>
      <c r="F104" s="88">
        <v>71</v>
      </c>
      <c r="G104" s="89">
        <v>5</v>
      </c>
      <c r="H104" s="90" t="s">
        <v>33</v>
      </c>
      <c r="I104" s="91">
        <f t="shared" si="37"/>
        <v>184.51739003710207</v>
      </c>
      <c r="J104" s="92">
        <v>12</v>
      </c>
      <c r="K104" s="93">
        <f t="shared" si="30"/>
        <v>15.376449169758507</v>
      </c>
      <c r="L104" s="105">
        <v>0</v>
      </c>
      <c r="M104" s="94">
        <f t="shared" si="39"/>
        <v>217.56148857247672</v>
      </c>
      <c r="N104" s="106">
        <f t="shared" si="28"/>
        <v>217.56148857247672</v>
      </c>
      <c r="O104" s="107">
        <f t="shared" si="32"/>
        <v>603.4757257394444</v>
      </c>
      <c r="P104" s="107">
        <f t="shared" si="29"/>
        <v>25.144821905810186</v>
      </c>
      <c r="Q104" s="108">
        <f t="shared" si="38"/>
        <v>25.144821905810186</v>
      </c>
      <c r="R104" s="109" t="s">
        <v>113</v>
      </c>
      <c r="T104" s="88">
        <f t="shared" si="35"/>
        <v>1</v>
      </c>
      <c r="U104" s="111">
        <f t="shared" si="36"/>
        <v>1</v>
      </c>
      <c r="V104" s="110">
        <f t="shared" si="33"/>
        <v>42</v>
      </c>
      <c r="W104" s="111" t="str">
        <f t="shared" si="34"/>
        <v>N</v>
      </c>
      <c r="Y104" s="111">
        <v>2</v>
      </c>
      <c r="Z104" s="112"/>
      <c r="AA104" s="113"/>
      <c r="AB104" s="112"/>
    </row>
    <row r="105" spans="1:28" s="10" customFormat="1" ht="12.75" customHeight="1">
      <c r="A105" s="85">
        <v>5602</v>
      </c>
      <c r="B105"/>
      <c r="C105" s="62">
        <v>42</v>
      </c>
      <c r="D105" s="63">
        <v>20</v>
      </c>
      <c r="E105" s="62" t="s">
        <v>32</v>
      </c>
      <c r="F105" s="62">
        <v>71</v>
      </c>
      <c r="G105" s="63">
        <v>5</v>
      </c>
      <c r="H105" s="44" t="s">
        <v>33</v>
      </c>
      <c r="I105" s="38">
        <f t="shared" si="37"/>
        <v>0</v>
      </c>
      <c r="J105" s="39">
        <v>0.1</v>
      </c>
      <c r="K105" s="40">
        <f t="shared" si="30"/>
        <v>0</v>
      </c>
      <c r="L105" s="41">
        <v>0</v>
      </c>
      <c r="M105" s="42">
        <f t="shared" si="39"/>
        <v>217.56148857247672</v>
      </c>
      <c r="N105" s="43">
        <f t="shared" si="28"/>
        <v>217.56148857247672</v>
      </c>
      <c r="O105" s="67">
        <f t="shared" si="32"/>
        <v>603.4757257394444</v>
      </c>
      <c r="P105" s="67">
        <f t="shared" si="29"/>
        <v>25.144821905810186</v>
      </c>
      <c r="Q105" s="81">
        <f t="shared" si="38"/>
        <v>25.144821905810186</v>
      </c>
      <c r="R105" s="9"/>
      <c r="T105" s="69">
        <f t="shared" si="35"/>
        <v>1</v>
      </c>
      <c r="U105" s="13">
        <f t="shared" si="36"/>
        <v>1</v>
      </c>
      <c r="V105" s="10">
        <f t="shared" si="33"/>
        <v>42</v>
      </c>
      <c r="W105" s="13" t="str">
        <f t="shared" si="34"/>
        <v>N</v>
      </c>
      <c r="Y105" s="13">
        <v>2</v>
      </c>
      <c r="Z105" s="45"/>
      <c r="AA105" s="46"/>
      <c r="AB105" s="45"/>
    </row>
    <row r="106" spans="1:28" s="10" customFormat="1" ht="12.75" customHeight="1">
      <c r="A106" s="85">
        <v>5641</v>
      </c>
      <c r="B106"/>
      <c r="C106" s="62">
        <v>42</v>
      </c>
      <c r="D106" s="63">
        <v>20</v>
      </c>
      <c r="E106" s="62" t="s">
        <v>32</v>
      </c>
      <c r="F106" s="62">
        <v>71</v>
      </c>
      <c r="G106" s="63">
        <v>5</v>
      </c>
      <c r="H106" s="44" t="s">
        <v>33</v>
      </c>
      <c r="I106" s="38">
        <f t="shared" si="37"/>
        <v>0</v>
      </c>
      <c r="J106" s="39">
        <v>0.1</v>
      </c>
      <c r="K106" s="40">
        <f t="shared" si="30"/>
        <v>0</v>
      </c>
      <c r="L106" s="41">
        <v>0</v>
      </c>
      <c r="M106" s="42">
        <f t="shared" si="39"/>
        <v>217.56148857247672</v>
      </c>
      <c r="N106" s="43">
        <f t="shared" si="28"/>
        <v>217.56148857247672</v>
      </c>
      <c r="O106" s="67">
        <f t="shared" si="32"/>
        <v>603.4757257394444</v>
      </c>
      <c r="P106" s="67">
        <f t="shared" si="29"/>
        <v>25.144821905810186</v>
      </c>
      <c r="Q106" s="81">
        <f t="shared" si="38"/>
        <v>25.144821905810186</v>
      </c>
      <c r="R106" s="9"/>
      <c r="T106" s="69">
        <f t="shared" si="35"/>
        <v>1</v>
      </c>
      <c r="U106" s="13">
        <f t="shared" si="36"/>
        <v>1</v>
      </c>
      <c r="V106" s="10">
        <f t="shared" si="33"/>
        <v>42</v>
      </c>
      <c r="W106" s="13" t="str">
        <f t="shared" si="34"/>
        <v>N</v>
      </c>
      <c r="Y106" s="13">
        <v>2</v>
      </c>
      <c r="Z106" s="45"/>
      <c r="AA106" s="46" t="s">
        <v>113</v>
      </c>
      <c r="AB106" s="45"/>
    </row>
    <row r="107" spans="1:28" s="10" customFormat="1" ht="12.75" customHeight="1">
      <c r="A107" s="85">
        <v>5172</v>
      </c>
      <c r="B107"/>
      <c r="C107" s="62">
        <v>42</v>
      </c>
      <c r="D107" s="63">
        <v>20</v>
      </c>
      <c r="E107" s="62" t="s">
        <v>32</v>
      </c>
      <c r="F107" s="62">
        <v>71</v>
      </c>
      <c r="G107" s="63">
        <v>5</v>
      </c>
      <c r="H107" s="44" t="s">
        <v>33</v>
      </c>
      <c r="I107" s="38">
        <f t="shared" si="37"/>
        <v>0</v>
      </c>
      <c r="J107" s="39">
        <v>0.1</v>
      </c>
      <c r="K107" s="40">
        <f t="shared" si="30"/>
        <v>0</v>
      </c>
      <c r="L107" s="41">
        <v>0</v>
      </c>
      <c r="M107" s="42">
        <f t="shared" si="39"/>
        <v>217.56148857247672</v>
      </c>
      <c r="N107" s="43">
        <f t="shared" si="28"/>
        <v>217.56148857247672</v>
      </c>
      <c r="O107" s="67">
        <f t="shared" si="32"/>
        <v>603.4757257394444</v>
      </c>
      <c r="P107" s="67">
        <f t="shared" si="29"/>
        <v>25.144821905810186</v>
      </c>
      <c r="Q107" s="81">
        <f t="shared" si="38"/>
        <v>25.144821905810186</v>
      </c>
      <c r="R107" s="9"/>
      <c r="T107" s="69">
        <f t="shared" si="35"/>
        <v>1</v>
      </c>
      <c r="U107" s="13">
        <f t="shared" si="36"/>
        <v>1</v>
      </c>
      <c r="V107" s="10">
        <f t="shared" si="33"/>
        <v>42</v>
      </c>
      <c r="W107" s="13" t="str">
        <f t="shared" si="34"/>
        <v>N</v>
      </c>
      <c r="Y107" s="13">
        <v>2</v>
      </c>
      <c r="Z107" s="45"/>
      <c r="AA107" s="46"/>
      <c r="AB107" s="45"/>
    </row>
    <row r="108" spans="1:28" s="10" customFormat="1" ht="12.75" customHeight="1">
      <c r="A108" s="85">
        <v>5241</v>
      </c>
      <c r="B108"/>
      <c r="C108" s="62">
        <v>42</v>
      </c>
      <c r="D108" s="63">
        <v>20</v>
      </c>
      <c r="E108" s="62" t="s">
        <v>32</v>
      </c>
      <c r="F108" s="62">
        <v>71</v>
      </c>
      <c r="G108" s="63">
        <v>5</v>
      </c>
      <c r="H108" s="44" t="s">
        <v>33</v>
      </c>
      <c r="I108" s="38">
        <f t="shared" si="37"/>
        <v>0</v>
      </c>
      <c r="J108" s="39">
        <v>0.1</v>
      </c>
      <c r="K108" s="40">
        <f t="shared" si="30"/>
        <v>0</v>
      </c>
      <c r="L108" s="41">
        <v>0</v>
      </c>
      <c r="M108" s="42">
        <f t="shared" si="39"/>
        <v>217.56148857247672</v>
      </c>
      <c r="N108" s="43">
        <f t="shared" si="28"/>
        <v>217.56148857247672</v>
      </c>
      <c r="O108" s="67">
        <f t="shared" si="32"/>
        <v>603.4757257394444</v>
      </c>
      <c r="P108" s="67">
        <f t="shared" si="29"/>
        <v>25.144821905810186</v>
      </c>
      <c r="Q108" s="81">
        <f t="shared" si="38"/>
        <v>25.144821905810186</v>
      </c>
      <c r="R108" s="9"/>
      <c r="S108" s="10" t="s">
        <v>113</v>
      </c>
      <c r="T108" s="69">
        <f t="shared" si="35"/>
        <v>1</v>
      </c>
      <c r="U108" s="13">
        <f t="shared" si="36"/>
        <v>1</v>
      </c>
      <c r="V108" s="10">
        <f t="shared" si="33"/>
        <v>42</v>
      </c>
      <c r="W108" s="13" t="str">
        <f t="shared" si="34"/>
        <v>N</v>
      </c>
      <c r="Y108" s="13">
        <v>2</v>
      </c>
      <c r="Z108" s="45"/>
      <c r="AA108" s="46"/>
      <c r="AB108" s="45"/>
    </row>
    <row r="109" spans="1:28" s="10" customFormat="1" ht="12.75" customHeight="1">
      <c r="A109" s="85">
        <v>5214</v>
      </c>
      <c r="B109"/>
      <c r="C109" s="62">
        <v>42</v>
      </c>
      <c r="D109" s="63">
        <v>20</v>
      </c>
      <c r="E109" s="62" t="s">
        <v>32</v>
      </c>
      <c r="F109" s="62">
        <v>71</v>
      </c>
      <c r="G109" s="63">
        <v>5</v>
      </c>
      <c r="H109" s="44" t="s">
        <v>33</v>
      </c>
      <c r="I109" s="38">
        <f t="shared" si="37"/>
        <v>0</v>
      </c>
      <c r="J109" s="39">
        <v>0.1</v>
      </c>
      <c r="K109" s="40">
        <f t="shared" si="30"/>
        <v>0</v>
      </c>
      <c r="L109" s="41">
        <v>0</v>
      </c>
      <c r="M109" s="42">
        <f t="shared" si="39"/>
        <v>217.56148857247672</v>
      </c>
      <c r="N109" s="43">
        <f t="shared" si="28"/>
        <v>217.56148857247672</v>
      </c>
      <c r="O109" s="67">
        <f t="shared" si="32"/>
        <v>603.4757257394444</v>
      </c>
      <c r="P109" s="67">
        <f t="shared" si="29"/>
        <v>25.144821905810186</v>
      </c>
      <c r="Q109" s="81">
        <f t="shared" si="38"/>
        <v>25.144821905810186</v>
      </c>
      <c r="R109" s="9"/>
      <c r="T109" s="69">
        <f t="shared" si="35"/>
        <v>1</v>
      </c>
      <c r="U109" s="13">
        <f t="shared" si="36"/>
        <v>1</v>
      </c>
      <c r="V109" s="10">
        <f t="shared" si="33"/>
        <v>42</v>
      </c>
      <c r="W109" s="13" t="str">
        <f t="shared" si="34"/>
        <v>N</v>
      </c>
      <c r="Y109" s="13">
        <v>2</v>
      </c>
      <c r="Z109" s="45"/>
      <c r="AA109" s="46"/>
      <c r="AB109" s="45"/>
    </row>
    <row r="110" spans="1:28" s="10" customFormat="1" ht="12.75" customHeight="1">
      <c r="A110" s="85">
        <v>5597</v>
      </c>
      <c r="B110"/>
      <c r="C110" s="62">
        <v>42</v>
      </c>
      <c r="D110" s="63">
        <v>20</v>
      </c>
      <c r="E110" s="62" t="s">
        <v>32</v>
      </c>
      <c r="F110" s="62">
        <v>71</v>
      </c>
      <c r="G110" s="63">
        <v>5</v>
      </c>
      <c r="H110" s="44" t="s">
        <v>33</v>
      </c>
      <c r="I110" s="38">
        <f t="shared" si="37"/>
        <v>0</v>
      </c>
      <c r="J110" s="39">
        <v>0.1</v>
      </c>
      <c r="K110" s="40">
        <f t="shared" si="30"/>
        <v>0</v>
      </c>
      <c r="L110" s="41">
        <v>0</v>
      </c>
      <c r="M110" s="42">
        <f t="shared" si="39"/>
        <v>217.56148857247672</v>
      </c>
      <c r="N110" s="43">
        <f t="shared" si="28"/>
        <v>217.56148857247672</v>
      </c>
      <c r="O110" s="67">
        <f t="shared" si="32"/>
        <v>603.4757257394444</v>
      </c>
      <c r="P110" s="67">
        <f t="shared" si="29"/>
        <v>25.144821905810186</v>
      </c>
      <c r="Q110" s="81">
        <f t="shared" si="38"/>
        <v>25.144821905810186</v>
      </c>
      <c r="R110" s="9"/>
      <c r="T110" s="69">
        <f t="shared" si="35"/>
        <v>1</v>
      </c>
      <c r="U110" s="13">
        <f t="shared" si="36"/>
        <v>1</v>
      </c>
      <c r="V110" s="10">
        <f t="shared" si="33"/>
        <v>42</v>
      </c>
      <c r="W110" s="13" t="str">
        <f t="shared" si="34"/>
        <v>N</v>
      </c>
      <c r="Y110" s="13">
        <v>2</v>
      </c>
      <c r="Z110" s="45"/>
      <c r="AA110" s="46"/>
      <c r="AB110" s="45"/>
    </row>
    <row r="111" spans="1:28" s="10" customFormat="1" ht="12.75" customHeight="1">
      <c r="A111" s="85">
        <v>5084</v>
      </c>
      <c r="B111"/>
      <c r="C111" s="62">
        <v>42</v>
      </c>
      <c r="D111" s="63">
        <v>20</v>
      </c>
      <c r="E111" s="62" t="s">
        <v>32</v>
      </c>
      <c r="F111" s="62">
        <v>71</v>
      </c>
      <c r="G111" s="63">
        <v>5</v>
      </c>
      <c r="H111" s="44" t="s">
        <v>33</v>
      </c>
      <c r="I111" s="38">
        <f t="shared" si="37"/>
        <v>0</v>
      </c>
      <c r="J111" s="39">
        <v>0.1</v>
      </c>
      <c r="K111" s="40">
        <f t="shared" si="30"/>
        <v>0</v>
      </c>
      <c r="L111" s="41">
        <v>0</v>
      </c>
      <c r="M111" s="42">
        <f t="shared" si="39"/>
        <v>217.56148857247672</v>
      </c>
      <c r="N111" s="43">
        <f t="shared" si="28"/>
        <v>217.56148857247672</v>
      </c>
      <c r="O111" s="67">
        <f t="shared" si="32"/>
        <v>603.4757257394444</v>
      </c>
      <c r="P111" s="67">
        <f t="shared" si="29"/>
        <v>25.144821905810186</v>
      </c>
      <c r="Q111" s="81">
        <f t="shared" si="38"/>
        <v>25.144821905810186</v>
      </c>
      <c r="R111" s="9"/>
      <c r="T111" s="69">
        <f t="shared" si="35"/>
        <v>1</v>
      </c>
      <c r="U111" s="13">
        <f t="shared" si="36"/>
        <v>1</v>
      </c>
      <c r="V111" s="10">
        <f t="shared" si="33"/>
        <v>42</v>
      </c>
      <c r="W111" s="13" t="str">
        <f t="shared" si="34"/>
        <v>N</v>
      </c>
      <c r="Y111" s="13">
        <v>2</v>
      </c>
      <c r="Z111" s="45"/>
      <c r="AA111" s="46"/>
      <c r="AB111" s="45"/>
    </row>
    <row r="112" spans="1:28" s="10" customFormat="1" ht="12.75" customHeight="1">
      <c r="A112" s="85">
        <v>5260</v>
      </c>
      <c r="B112"/>
      <c r="C112" s="62">
        <v>42</v>
      </c>
      <c r="D112" s="63">
        <v>20</v>
      </c>
      <c r="E112" s="62" t="s">
        <v>32</v>
      </c>
      <c r="F112" s="62">
        <v>71</v>
      </c>
      <c r="G112" s="63">
        <v>5</v>
      </c>
      <c r="H112" s="44" t="s">
        <v>33</v>
      </c>
      <c r="I112" s="38">
        <f t="shared" si="37"/>
        <v>0</v>
      </c>
      <c r="J112" s="39">
        <v>0.1</v>
      </c>
      <c r="K112" s="40">
        <f t="shared" si="30"/>
        <v>0</v>
      </c>
      <c r="L112" s="41">
        <v>0</v>
      </c>
      <c r="M112" s="42">
        <f t="shared" si="39"/>
        <v>217.56148857247672</v>
      </c>
      <c r="N112" s="43">
        <f t="shared" si="28"/>
        <v>217.56148857247672</v>
      </c>
      <c r="O112" s="67">
        <f t="shared" si="32"/>
        <v>603.4757257394444</v>
      </c>
      <c r="P112" s="67">
        <f t="shared" si="29"/>
        <v>25.144821905810186</v>
      </c>
      <c r="Q112" s="81">
        <f t="shared" si="38"/>
        <v>25.144821905810186</v>
      </c>
      <c r="R112" s="9"/>
      <c r="T112" s="69">
        <f t="shared" si="35"/>
        <v>1</v>
      </c>
      <c r="U112" s="13">
        <f t="shared" si="36"/>
        <v>1</v>
      </c>
      <c r="V112" s="10">
        <f t="shared" si="33"/>
        <v>42</v>
      </c>
      <c r="W112" s="13" t="str">
        <f t="shared" si="34"/>
        <v>N</v>
      </c>
      <c r="Y112" s="13">
        <v>2</v>
      </c>
      <c r="Z112" s="45"/>
      <c r="AA112" s="46"/>
      <c r="AB112" s="45"/>
    </row>
    <row r="113" spans="1:28" s="10" customFormat="1" ht="12.75" customHeight="1">
      <c r="A113" s="85">
        <v>5541</v>
      </c>
      <c r="B113"/>
      <c r="C113" s="62">
        <v>42</v>
      </c>
      <c r="D113" s="63">
        <v>20</v>
      </c>
      <c r="E113" s="62" t="s">
        <v>32</v>
      </c>
      <c r="F113" s="62">
        <v>71</v>
      </c>
      <c r="G113" s="63">
        <v>5</v>
      </c>
      <c r="H113" s="70" t="s">
        <v>33</v>
      </c>
      <c r="I113" s="38">
        <f t="shared" si="37"/>
        <v>0</v>
      </c>
      <c r="J113" s="39">
        <v>0.1</v>
      </c>
      <c r="K113" s="71">
        <f t="shared" si="30"/>
        <v>0</v>
      </c>
      <c r="L113" s="41">
        <v>0</v>
      </c>
      <c r="M113" s="42">
        <f t="shared" si="39"/>
        <v>217.56148857247672</v>
      </c>
      <c r="N113" s="43">
        <f t="shared" si="28"/>
        <v>217.56148857247672</v>
      </c>
      <c r="O113" s="67">
        <f t="shared" si="32"/>
        <v>603.4757257394444</v>
      </c>
      <c r="P113" s="67">
        <f t="shared" si="29"/>
        <v>25.144821905810186</v>
      </c>
      <c r="Q113" s="81">
        <f t="shared" si="38"/>
        <v>25.144821905810186</v>
      </c>
      <c r="R113" s="72"/>
      <c r="T113" s="69">
        <f t="shared" si="35"/>
        <v>1</v>
      </c>
      <c r="U113" s="13">
        <f t="shared" si="36"/>
        <v>1</v>
      </c>
      <c r="V113" s="10">
        <f t="shared" si="33"/>
        <v>42</v>
      </c>
      <c r="W113" s="13" t="str">
        <f t="shared" si="34"/>
        <v>N</v>
      </c>
      <c r="Y113" s="13">
        <v>2</v>
      </c>
      <c r="Z113" s="45"/>
      <c r="AA113" s="46"/>
      <c r="AB113" s="45"/>
    </row>
    <row r="114" spans="1:28" s="74" customFormat="1" ht="12.75" customHeight="1">
      <c r="A114" s="85">
        <v>5671</v>
      </c>
      <c r="B114"/>
      <c r="C114" s="62">
        <v>42</v>
      </c>
      <c r="D114" s="63">
        <v>20</v>
      </c>
      <c r="E114" s="62" t="s">
        <v>32</v>
      </c>
      <c r="F114" s="62">
        <v>71</v>
      </c>
      <c r="G114" s="63">
        <v>5</v>
      </c>
      <c r="H114" s="37" t="s">
        <v>33</v>
      </c>
      <c r="I114" s="38">
        <f t="shared" si="37"/>
        <v>0</v>
      </c>
      <c r="J114" s="39">
        <v>0.1</v>
      </c>
      <c r="K114" s="73">
        <f t="shared" si="30"/>
        <v>0</v>
      </c>
      <c r="L114" s="41">
        <v>0</v>
      </c>
      <c r="M114" s="42">
        <f t="shared" si="39"/>
        <v>217.56148857247672</v>
      </c>
      <c r="N114" s="43">
        <f t="shared" si="28"/>
        <v>217.56148857247672</v>
      </c>
      <c r="O114" s="67">
        <f t="shared" si="32"/>
        <v>603.4757257394444</v>
      </c>
      <c r="P114" s="67">
        <f t="shared" si="29"/>
        <v>25.144821905810186</v>
      </c>
      <c r="Q114" s="81">
        <f t="shared" si="38"/>
        <v>25.144821905810186</v>
      </c>
      <c r="R114" s="68"/>
      <c r="T114" s="69">
        <f t="shared" si="35"/>
        <v>1</v>
      </c>
      <c r="U114" s="13">
        <f t="shared" si="36"/>
        <v>1</v>
      </c>
      <c r="V114" s="10">
        <f t="shared" si="33"/>
        <v>42</v>
      </c>
      <c r="W114" s="13" t="str">
        <f t="shared" si="34"/>
        <v>N</v>
      </c>
      <c r="Y114" s="13">
        <v>2</v>
      </c>
      <c r="Z114" s="75"/>
      <c r="AA114" s="76"/>
      <c r="AB114" s="75"/>
    </row>
    <row r="115" spans="1:28" s="10" customFormat="1" ht="12.75" customHeight="1">
      <c r="A115" s="85">
        <v>5152</v>
      </c>
      <c r="B115"/>
      <c r="C115" s="62">
        <v>42</v>
      </c>
      <c r="D115" s="63">
        <v>20</v>
      </c>
      <c r="E115" s="62" t="s">
        <v>32</v>
      </c>
      <c r="F115" s="62">
        <v>71</v>
      </c>
      <c r="G115" s="63">
        <v>5</v>
      </c>
      <c r="H115" s="44" t="s">
        <v>33</v>
      </c>
      <c r="I115" s="38">
        <f t="shared" si="37"/>
        <v>0</v>
      </c>
      <c r="J115" s="39">
        <v>0.1</v>
      </c>
      <c r="K115" s="40">
        <f t="shared" si="30"/>
        <v>0</v>
      </c>
      <c r="L115" s="41">
        <v>0</v>
      </c>
      <c r="M115" s="42">
        <f t="shared" si="39"/>
        <v>217.56148857247672</v>
      </c>
      <c r="N115" s="43">
        <f t="shared" si="28"/>
        <v>217.56148857247672</v>
      </c>
      <c r="O115" s="67">
        <f t="shared" si="32"/>
        <v>603.4757257394444</v>
      </c>
      <c r="P115" s="67">
        <f t="shared" si="29"/>
        <v>25.144821905810186</v>
      </c>
      <c r="Q115" s="81">
        <f t="shared" si="38"/>
        <v>25.144821905810186</v>
      </c>
      <c r="R115" s="9"/>
      <c r="T115" s="69">
        <f t="shared" si="35"/>
        <v>1</v>
      </c>
      <c r="U115" s="13">
        <f t="shared" si="36"/>
        <v>1</v>
      </c>
      <c r="V115" s="10">
        <f t="shared" si="33"/>
        <v>42</v>
      </c>
      <c r="W115" s="13" t="str">
        <f t="shared" si="34"/>
        <v>N</v>
      </c>
      <c r="Y115" s="13">
        <v>2</v>
      </c>
      <c r="Z115" s="45"/>
      <c r="AA115" s="46"/>
      <c r="AB115" s="45"/>
    </row>
    <row r="116" spans="1:28" s="10" customFormat="1" ht="12.75" customHeight="1">
      <c r="A116" s="85">
        <v>5631</v>
      </c>
      <c r="B116"/>
      <c r="C116" s="62">
        <v>42</v>
      </c>
      <c r="D116" s="63">
        <v>20</v>
      </c>
      <c r="E116" s="62" t="s">
        <v>32</v>
      </c>
      <c r="F116" s="62">
        <v>71</v>
      </c>
      <c r="G116" s="63">
        <v>5</v>
      </c>
      <c r="H116" s="44" t="s">
        <v>33</v>
      </c>
      <c r="I116" s="38">
        <f t="shared" si="37"/>
        <v>0</v>
      </c>
      <c r="J116" s="39">
        <v>0.1</v>
      </c>
      <c r="K116" s="40">
        <f t="shared" si="30"/>
        <v>0</v>
      </c>
      <c r="L116" s="41">
        <v>0</v>
      </c>
      <c r="M116" s="42">
        <f t="shared" si="39"/>
        <v>217.56148857247672</v>
      </c>
      <c r="N116" s="43">
        <f t="shared" si="28"/>
        <v>217.56148857247672</v>
      </c>
      <c r="O116" s="67">
        <f t="shared" si="32"/>
        <v>603.4757257394444</v>
      </c>
      <c r="P116" s="67">
        <f t="shared" si="29"/>
        <v>25.144821905810186</v>
      </c>
      <c r="Q116" s="81">
        <f t="shared" si="38"/>
        <v>25.144821905810186</v>
      </c>
      <c r="R116" s="9"/>
      <c r="T116" s="69">
        <f t="shared" si="35"/>
        <v>1</v>
      </c>
      <c r="U116" s="13">
        <f t="shared" si="36"/>
        <v>1</v>
      </c>
      <c r="V116" s="10">
        <f t="shared" si="33"/>
        <v>42</v>
      </c>
      <c r="W116" s="13" t="str">
        <f t="shared" si="34"/>
        <v>N</v>
      </c>
      <c r="Y116" s="13">
        <v>2</v>
      </c>
      <c r="Z116" s="45"/>
      <c r="AA116" s="46"/>
      <c r="AB116" s="45"/>
    </row>
    <row r="117" spans="1:28" s="10" customFormat="1" ht="12.75" customHeight="1">
      <c r="A117" s="85">
        <v>5657</v>
      </c>
      <c r="B117"/>
      <c r="C117" s="62">
        <v>42</v>
      </c>
      <c r="D117" s="63">
        <v>20</v>
      </c>
      <c r="E117" s="62" t="s">
        <v>32</v>
      </c>
      <c r="F117" s="62">
        <v>71</v>
      </c>
      <c r="G117" s="63">
        <v>5</v>
      </c>
      <c r="H117" s="44" t="s">
        <v>33</v>
      </c>
      <c r="I117" s="38">
        <f t="shared" si="37"/>
        <v>0</v>
      </c>
      <c r="J117" s="39">
        <v>0.1</v>
      </c>
      <c r="K117" s="40">
        <f t="shared" si="30"/>
        <v>0</v>
      </c>
      <c r="L117" s="41">
        <v>0</v>
      </c>
      <c r="M117" s="42">
        <f t="shared" si="39"/>
        <v>217.56148857247672</v>
      </c>
      <c r="N117" s="43">
        <f t="shared" si="28"/>
        <v>217.56148857247672</v>
      </c>
      <c r="O117" s="67">
        <f t="shared" si="32"/>
        <v>603.4757257394444</v>
      </c>
      <c r="P117" s="67">
        <f t="shared" si="29"/>
        <v>25.144821905810186</v>
      </c>
      <c r="Q117" s="81">
        <f t="shared" si="38"/>
        <v>25.144821905810186</v>
      </c>
      <c r="R117" s="9"/>
      <c r="T117" s="69">
        <f t="shared" si="35"/>
        <v>1</v>
      </c>
      <c r="U117" s="13">
        <f t="shared" si="36"/>
        <v>1</v>
      </c>
      <c r="V117" s="10">
        <f t="shared" si="33"/>
        <v>42</v>
      </c>
      <c r="W117" s="13" t="str">
        <f t="shared" si="34"/>
        <v>N</v>
      </c>
      <c r="Y117" s="13">
        <v>2</v>
      </c>
      <c r="Z117" s="45"/>
      <c r="AA117" s="46"/>
      <c r="AB117" s="45"/>
    </row>
    <row r="118" spans="1:28" s="10" customFormat="1" ht="12.75" customHeight="1">
      <c r="A118" s="85">
        <v>5869</v>
      </c>
      <c r="B118"/>
      <c r="C118" s="62">
        <v>42</v>
      </c>
      <c r="D118" s="63">
        <v>20</v>
      </c>
      <c r="E118" s="62" t="s">
        <v>32</v>
      </c>
      <c r="F118" s="62">
        <v>71</v>
      </c>
      <c r="G118" s="63">
        <v>5</v>
      </c>
      <c r="H118" s="44" t="s">
        <v>33</v>
      </c>
      <c r="I118" s="38">
        <f t="shared" si="37"/>
        <v>0</v>
      </c>
      <c r="J118" s="39">
        <v>0.1</v>
      </c>
      <c r="K118" s="40">
        <f t="shared" si="30"/>
        <v>0</v>
      </c>
      <c r="L118" s="41">
        <v>0</v>
      </c>
      <c r="M118" s="42">
        <f t="shared" si="39"/>
        <v>217.56148857247672</v>
      </c>
      <c r="N118" s="43">
        <f t="shared" si="28"/>
        <v>217.56148857247672</v>
      </c>
      <c r="O118" s="67">
        <f t="shared" si="32"/>
        <v>603.4757257394444</v>
      </c>
      <c r="P118" s="67">
        <f t="shared" si="29"/>
        <v>25.144821905810186</v>
      </c>
      <c r="Q118" s="81">
        <f t="shared" si="38"/>
        <v>25.144821905810186</v>
      </c>
      <c r="R118" s="9"/>
      <c r="T118" s="69">
        <f t="shared" si="35"/>
        <v>1</v>
      </c>
      <c r="U118" s="13">
        <f t="shared" si="36"/>
        <v>1</v>
      </c>
      <c r="V118" s="10">
        <f t="shared" si="33"/>
        <v>42</v>
      </c>
      <c r="W118" s="13" t="str">
        <f t="shared" si="34"/>
        <v>N</v>
      </c>
      <c r="Y118" s="13">
        <v>2</v>
      </c>
      <c r="Z118" s="45"/>
      <c r="AA118" s="46"/>
      <c r="AB118" s="45"/>
    </row>
    <row r="119" spans="1:17" ht="12">
      <c r="A119" s="33"/>
      <c r="B119" s="31"/>
      <c r="C119" s="31"/>
      <c r="D119" s="31"/>
      <c r="E119" s="31"/>
      <c r="M119" s="32"/>
      <c r="N119" s="34"/>
      <c r="O119" s="34"/>
      <c r="P119" s="34"/>
      <c r="Q119" s="82"/>
    </row>
    <row r="120" spans="1:17" ht="12" customHeight="1">
      <c r="A120" s="33"/>
      <c r="C120" s="31"/>
      <c r="D120" s="31"/>
      <c r="E120" s="31"/>
      <c r="I120" t="s">
        <v>113</v>
      </c>
      <c r="M120" s="32"/>
      <c r="N120" s="35"/>
      <c r="O120" s="34"/>
      <c r="P120" s="36"/>
      <c r="Q120" s="82"/>
    </row>
    <row r="121" ht="12">
      <c r="A121" s="33"/>
    </row>
  </sheetData>
  <mergeCells count="2">
    <mergeCell ref="A1:Q1"/>
    <mergeCell ref="A2:Q2"/>
  </mergeCells>
  <printOptions/>
  <pageMargins left="0.75" right="0.75" top="1" bottom="1" header="0.5" footer="0.5"/>
  <pageSetup fitToHeight="4" horizontalDpi="600" verticalDpi="600" orientation="landscape" scale="8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</dc:creator>
  <cp:keywords/>
  <dc:description/>
  <cp:lastModifiedBy>Betty Huss</cp:lastModifiedBy>
  <cp:lastPrinted>2007-06-18T21:37:11Z</cp:lastPrinted>
  <dcterms:created xsi:type="dcterms:W3CDTF">2000-08-07T19:08:38Z</dcterms:created>
  <dcterms:modified xsi:type="dcterms:W3CDTF">2007-06-19T19:45:18Z</dcterms:modified>
  <cp:category/>
  <cp:version/>
  <cp:contentType/>
  <cp:contentStatus/>
</cp:coreProperties>
</file>